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xr:revisionPtr revIDLastSave="0" documentId="8_{9D192C48-4A58-45E2-BE7E-9E3B3689A67C}" xr6:coauthVersionLast="47" xr6:coauthVersionMax="47" xr10:uidLastSave="{00000000-0000-0000-0000-000000000000}"/>
  <bookViews>
    <workbookView xWindow="0" yWindow="0" windowWidth="0" windowHeight="0" firstSheet="5" activeTab="5" xr2:uid="{00000000-000D-0000-FFFF-FFFF00000000}"/>
  </bookViews>
  <sheets>
    <sheet name="OUTPUT &gt;&gt;&gt;" sheetId="1" r:id="rId1"/>
    <sheet name="Detailed Output" sheetId="2" r:id="rId2"/>
    <sheet name="Simple Output" sheetId="3" r:id="rId3"/>
    <sheet name="WC" sheetId="11" r:id="rId4"/>
    <sheet name="Instructions" sheetId="4" r:id="rId5"/>
    <sheet name="Inputs 1" sheetId="5" r:id="rId6"/>
    <sheet name="Inputs 2 - Financing Options" sheetId="6" r:id="rId7"/>
    <sheet name="Working" sheetId="7" r:id="rId8"/>
    <sheet name="ANALYSIS &gt;&gt;" sheetId="8" state="hidden" r:id="rId9"/>
    <sheet name="Financial Overview" sheetId="9" r:id="rId10"/>
    <sheet name="Breakeven Analysis" sheetId="1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eGQTeSRoFmB1zMVguYlvaJschMbo1rKZ8FpOp3tv/34="/>
    </ext>
  </extLst>
</workbook>
</file>

<file path=xl/calcChain.xml><?xml version="1.0" encoding="utf-8"?>
<calcChain xmlns="http://schemas.openxmlformats.org/spreadsheetml/2006/main">
  <c r="E14" i="7" l="1"/>
  <c r="E14" i="5"/>
  <c r="D6" i="11"/>
  <c r="C6" i="11" s="1"/>
  <c r="C5" i="11" a="1"/>
  <c r="C5" i="11"/>
  <c r="C27" i="10"/>
  <c r="A5" i="4"/>
  <c r="A6" i="4" s="1"/>
  <c r="A7" i="4" s="1"/>
  <c r="A8" i="4" s="1"/>
  <c r="A9" i="4" s="1"/>
  <c r="A10" i="4" s="1"/>
  <c r="A11" i="4" s="1"/>
  <c r="A28" i="10"/>
  <c r="D20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9" i="10" s="1"/>
  <c r="A20" i="10" s="1"/>
  <c r="A21" i="10" s="1"/>
  <c r="A22" i="10" s="1"/>
  <c r="A23" i="10" s="1"/>
  <c r="A24" i="10" s="1"/>
  <c r="D23" i="9"/>
  <c r="A18" i="9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C15" i="9"/>
  <c r="A7" i="9"/>
  <c r="A8" i="9" s="1"/>
  <c r="A9" i="9" s="1"/>
  <c r="A10" i="9" s="1"/>
  <c r="A11" i="9" s="1"/>
  <c r="A12" i="9" s="1"/>
  <c r="A40" i="7"/>
  <c r="A41" i="7" s="1"/>
  <c r="A42" i="7" s="1"/>
  <c r="A43" i="7" s="1"/>
  <c r="A44" i="7" s="1"/>
  <c r="A45" i="7" s="1"/>
  <c r="E32" i="7"/>
  <c r="D32" i="7"/>
  <c r="C32" i="7"/>
  <c r="C11" i="10" s="1"/>
  <c r="B32" i="7"/>
  <c r="E31" i="7"/>
  <c r="C31" i="7"/>
  <c r="C10" i="10" s="1"/>
  <c r="B31" i="7"/>
  <c r="E30" i="7"/>
  <c r="C30" i="7"/>
  <c r="C9" i="10" s="1"/>
  <c r="B30" i="7"/>
  <c r="E29" i="7"/>
  <c r="D29" i="7"/>
  <c r="C29" i="7"/>
  <c r="C8" i="10" s="1"/>
  <c r="B29" i="7"/>
  <c r="E28" i="7"/>
  <c r="C28" i="7"/>
  <c r="C7" i="10" s="1"/>
  <c r="B28" i="7"/>
  <c r="E27" i="7"/>
  <c r="D27" i="7"/>
  <c r="C27" i="7"/>
  <c r="C6" i="10" s="1"/>
  <c r="B27" i="7"/>
  <c r="A27" i="7"/>
  <c r="A28" i="7" s="1"/>
  <c r="A29" i="7" s="1"/>
  <c r="A30" i="7" s="1"/>
  <c r="A31" i="7" s="1"/>
  <c r="A32" i="7" s="1"/>
  <c r="E26" i="7"/>
  <c r="D26" i="7"/>
  <c r="C26" i="7"/>
  <c r="C5" i="10" s="1"/>
  <c r="B26" i="7"/>
  <c r="A21" i="7"/>
  <c r="E13" i="7"/>
  <c r="C22" i="7" s="1"/>
  <c r="D13" i="7"/>
  <c r="B13" i="7"/>
  <c r="G12" i="7"/>
  <c r="F12" i="7"/>
  <c r="E12" i="7"/>
  <c r="D12" i="7"/>
  <c r="C12" i="7"/>
  <c r="G9" i="7"/>
  <c r="F9" i="7"/>
  <c r="E9" i="7"/>
  <c r="D9" i="7"/>
  <c r="C9" i="7"/>
  <c r="B9" i="7"/>
  <c r="G8" i="7"/>
  <c r="F8" i="7"/>
  <c r="E8" i="7"/>
  <c r="D8" i="7"/>
  <c r="C8" i="7"/>
  <c r="B8" i="7"/>
  <c r="B7" i="7"/>
  <c r="A7" i="7"/>
  <c r="G6" i="7"/>
  <c r="F6" i="7"/>
  <c r="E6" i="7"/>
  <c r="D6" i="7"/>
  <c r="C6" i="7"/>
  <c r="B6" i="7"/>
  <c r="B19" i="6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L10" i="6"/>
  <c r="C8" i="6"/>
  <c r="C7" i="6"/>
  <c r="C9" i="6" s="1"/>
  <c r="A33" i="5"/>
  <c r="A34" i="5" s="1"/>
  <c r="A27" i="5"/>
  <c r="A28" i="5" s="1"/>
  <c r="F23" i="5"/>
  <c r="F20" i="5"/>
  <c r="F18" i="5"/>
  <c r="A18" i="5"/>
  <c r="A19" i="5" s="1"/>
  <c r="A20" i="5" s="1"/>
  <c r="A21" i="5" s="1"/>
  <c r="A22" i="5" s="1"/>
  <c r="A23" i="5" s="1"/>
  <c r="F17" i="5"/>
  <c r="D23" i="10"/>
  <c r="D14" i="5"/>
  <c r="D15" i="5" s="1"/>
  <c r="G8" i="5"/>
  <c r="G7" i="7" s="1"/>
  <c r="F8" i="5"/>
  <c r="F7" i="7" s="1"/>
  <c r="E8" i="5"/>
  <c r="E7" i="7" s="1"/>
  <c r="D8" i="5"/>
  <c r="D7" i="7" s="1"/>
  <c r="C8" i="5"/>
  <c r="A8" i="5"/>
  <c r="A9" i="5" s="1"/>
  <c r="A10" i="5" s="1"/>
  <c r="A25" i="3"/>
  <c r="C24" i="3"/>
  <c r="C16" i="3"/>
  <c r="D16" i="3" s="1"/>
  <c r="B16" i="3"/>
  <c r="B15" i="3"/>
  <c r="H14" i="3"/>
  <c r="B14" i="3"/>
  <c r="H13" i="3"/>
  <c r="C13" i="3"/>
  <c r="D13" i="3" s="1"/>
  <c r="B13" i="3"/>
  <c r="B12" i="3"/>
  <c r="C11" i="3"/>
  <c r="D11" i="3" s="1"/>
  <c r="B11" i="3"/>
  <c r="C10" i="3"/>
  <c r="B10" i="3"/>
  <c r="A9" i="3"/>
  <c r="A18" i="3" s="1"/>
  <c r="A19" i="3" s="1"/>
  <c r="A20" i="3" s="1"/>
  <c r="C7" i="3"/>
  <c r="D7" i="3" s="1"/>
  <c r="B7" i="3"/>
  <c r="G6" i="3"/>
  <c r="F6" i="3"/>
  <c r="B6" i="3"/>
  <c r="G5" i="3"/>
  <c r="G7" i="3" s="1"/>
  <c r="F5" i="3"/>
  <c r="A18" i="2"/>
  <c r="A27" i="2" s="1"/>
  <c r="A28" i="2" s="1"/>
  <c r="A29" i="2" s="1"/>
  <c r="A30" i="2" s="1"/>
  <c r="G16" i="2"/>
  <c r="F16" i="2"/>
  <c r="E16" i="2"/>
  <c r="D16" i="2"/>
  <c r="C16" i="2"/>
  <c r="B16" i="2"/>
  <c r="B15" i="2"/>
  <c r="K9" i="2"/>
  <c r="K8" i="2"/>
  <c r="G7" i="2"/>
  <c r="D7" i="2"/>
  <c r="B7" i="2"/>
  <c r="A7" i="2"/>
  <c r="A8" i="2" s="1"/>
  <c r="A9" i="2" s="1"/>
  <c r="A10" i="2" s="1"/>
  <c r="A11" i="2" s="1"/>
  <c r="G6" i="2"/>
  <c r="G8" i="2" s="1"/>
  <c r="D6" i="2"/>
  <c r="B6" i="2"/>
  <c r="C4" i="2"/>
  <c r="D10" i="3" l="1"/>
  <c r="C7" i="7"/>
  <c r="C19" i="5"/>
  <c r="G13" i="5"/>
  <c r="G18" i="6"/>
  <c r="K10" i="6"/>
  <c r="G7" i="6"/>
  <c r="A9" i="7"/>
  <c r="A8" i="7"/>
  <c r="E22" i="7"/>
  <c r="D22" i="7"/>
  <c r="B5" i="10"/>
  <c r="B39" i="7"/>
  <c r="D5" i="10"/>
  <c r="F26" i="7"/>
  <c r="B6" i="10"/>
  <c r="B40" i="7"/>
  <c r="D6" i="10"/>
  <c r="F27" i="7"/>
  <c r="B7" i="10"/>
  <c r="B41" i="7"/>
  <c r="B8" i="10"/>
  <c r="B42" i="7"/>
  <c r="D8" i="10"/>
  <c r="F29" i="7"/>
  <c r="B9" i="10"/>
  <c r="B43" i="7"/>
  <c r="B10" i="10"/>
  <c r="B44" i="7"/>
  <c r="B11" i="10"/>
  <c r="B45" i="7"/>
  <c r="D11" i="10"/>
  <c r="F32" i="7"/>
  <c r="D27" i="10"/>
  <c r="D24" i="3" s="1"/>
  <c r="C45" i="7" l="1" a="1"/>
  <c r="C45" i="7" s="1"/>
  <c r="B25" i="2"/>
  <c r="B24" i="2"/>
  <c r="B23" i="2"/>
  <c r="C42" i="7" a="1"/>
  <c r="C42" i="7" s="1"/>
  <c r="B22" i="2"/>
  <c r="B21" i="2"/>
  <c r="C40" i="7" a="1"/>
  <c r="C40" i="7" s="1"/>
  <c r="B20" i="2"/>
  <c r="C39" i="7" a="1"/>
  <c r="C39" i="7" s="1"/>
  <c r="B19" i="2"/>
  <c r="G22" i="7"/>
  <c r="F22" i="7"/>
  <c r="K9" i="6"/>
  <c r="K8" i="6"/>
  <c r="K7" i="6"/>
  <c r="H18" i="6"/>
  <c r="C13" i="7"/>
  <c r="C22" i="5"/>
  <c r="C21" i="5"/>
  <c r="C14" i="5"/>
  <c r="F13" i="5"/>
  <c r="F14" i="5" s="1"/>
  <c r="G13" i="7"/>
  <c r="G14" i="5"/>
  <c r="D28" i="7"/>
  <c r="F19" i="5"/>
  <c r="D7" i="10" l="1"/>
  <c r="F28" i="7"/>
  <c r="C12" i="3"/>
  <c r="C41" i="7" a="1"/>
  <c r="C41" i="7" s="1"/>
  <c r="D30" i="7"/>
  <c r="F21" i="5"/>
  <c r="D31" i="7"/>
  <c r="F22" i="5"/>
  <c r="C20" i="7"/>
  <c r="C14" i="7"/>
  <c r="F13" i="7"/>
  <c r="F14" i="7" s="1"/>
  <c r="D17" i="9"/>
  <c r="H12" i="3"/>
  <c r="K7" i="2"/>
  <c r="D18" i="9"/>
  <c r="C10" i="6"/>
  <c r="I22" i="7"/>
  <c r="H22" i="7"/>
  <c r="E39" i="7"/>
  <c r="D39" i="7"/>
  <c r="E40" i="7"/>
  <c r="D40" i="7"/>
  <c r="C20" i="2" s="1"/>
  <c r="E42" i="7"/>
  <c r="D42" i="7"/>
  <c r="C22" i="2" s="1"/>
  <c r="E45" i="7"/>
  <c r="D45" i="7"/>
  <c r="C25" i="2" s="1"/>
  <c r="G45" i="7" l="1"/>
  <c r="F45" i="7"/>
  <c r="D25" i="2" s="1"/>
  <c r="G42" i="7"/>
  <c r="F42" i="7"/>
  <c r="D22" i="2" s="1"/>
  <c r="G40" i="7"/>
  <c r="F40" i="7"/>
  <c r="D20" i="2" s="1"/>
  <c r="C19" i="2"/>
  <c r="G39" i="7"/>
  <c r="F39" i="7"/>
  <c r="K22" i="7"/>
  <c r="L22" i="7" s="1"/>
  <c r="J22" i="7"/>
  <c r="C19" i="6"/>
  <c r="E14" i="6"/>
  <c r="G8" i="6"/>
  <c r="H11" i="3"/>
  <c r="K6" i="2"/>
  <c r="D14" i="6"/>
  <c r="C21" i="7"/>
  <c r="C6" i="9" s="1"/>
  <c r="E20" i="7"/>
  <c r="D20" i="7"/>
  <c r="C6" i="3"/>
  <c r="D10" i="10"/>
  <c r="F31" i="7"/>
  <c r="C15" i="3"/>
  <c r="D15" i="3" s="1"/>
  <c r="C44" i="7" a="1"/>
  <c r="C44" i="7" s="1"/>
  <c r="D9" i="10"/>
  <c r="F30" i="7"/>
  <c r="C14" i="3"/>
  <c r="D14" i="3" s="1"/>
  <c r="C43" i="7" a="1"/>
  <c r="C43" i="7" s="1"/>
  <c r="D33" i="7"/>
  <c r="E41" i="7"/>
  <c r="D41" i="7"/>
  <c r="D12" i="3"/>
  <c r="D17" i="3" s="1"/>
  <c r="D7" i="11" s="1"/>
  <c r="C17" i="3"/>
  <c r="F33" i="7"/>
  <c r="D15" i="10"/>
  <c r="C7" i="11" l="1"/>
  <c r="C8" i="11" s="1"/>
  <c r="C9" i="11" s="1"/>
  <c r="D8" i="11"/>
  <c r="D9" i="11" s="1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C21" i="2"/>
  <c r="G41" i="7"/>
  <c r="F41" i="7"/>
  <c r="D21" i="2" s="1"/>
  <c r="E43" i="7"/>
  <c r="D43" i="7"/>
  <c r="C46" i="7"/>
  <c r="C7" i="9" s="1"/>
  <c r="E44" i="7"/>
  <c r="D44" i="7"/>
  <c r="C24" i="2" s="1"/>
  <c r="C8" i="3"/>
  <c r="C18" i="3" s="1"/>
  <c r="C33" i="5" s="1"/>
  <c r="G9" i="6" s="1"/>
  <c r="D6" i="3"/>
  <c r="D8" i="3" s="1"/>
  <c r="D21" i="7"/>
  <c r="D6" i="9" s="1"/>
  <c r="C15" i="2"/>
  <c r="C17" i="2" s="1"/>
  <c r="E21" i="7"/>
  <c r="E6" i="9" s="1"/>
  <c r="G20" i="7"/>
  <c r="F20" i="7"/>
  <c r="D14" i="10"/>
  <c r="D16" i="10" s="1"/>
  <c r="D17" i="10" s="1"/>
  <c r="C8" i="9"/>
  <c r="D12" i="10"/>
  <c r="D20" i="9"/>
  <c r="K9" i="9"/>
  <c r="L9" i="9" s="1"/>
  <c r="I9" i="9"/>
  <c r="J9" i="9" s="1"/>
  <c r="G9" i="9"/>
  <c r="H9" i="9" s="1"/>
  <c r="E9" i="9"/>
  <c r="F9" i="9" s="1"/>
  <c r="C9" i="9"/>
  <c r="D9" i="9" s="1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F14" i="6"/>
  <c r="D19" i="3"/>
  <c r="C19" i="3"/>
  <c r="H15" i="3"/>
  <c r="G28" i="2"/>
  <c r="F28" i="2"/>
  <c r="E28" i="2"/>
  <c r="D28" i="2"/>
  <c r="C28" i="2"/>
  <c r="K10" i="2"/>
  <c r="D19" i="6"/>
  <c r="F19" i="6" s="1"/>
  <c r="C20" i="6" s="1"/>
  <c r="D19" i="2"/>
  <c r="I39" i="7"/>
  <c r="H39" i="7"/>
  <c r="I40" i="7"/>
  <c r="H40" i="7"/>
  <c r="E20" i="2" s="1"/>
  <c r="I42" i="7"/>
  <c r="H42" i="7"/>
  <c r="E22" i="2" s="1"/>
  <c r="I45" i="7"/>
  <c r="H45" i="7"/>
  <c r="E25" i="2" s="1"/>
  <c r="D18" i="3" l="1"/>
  <c r="I14" i="6"/>
  <c r="K45" i="7"/>
  <c r="L45" i="7" s="1"/>
  <c r="G25" i="2" s="1"/>
  <c r="J45" i="7"/>
  <c r="F25" i="2" s="1"/>
  <c r="K42" i="7"/>
  <c r="L42" i="7" s="1"/>
  <c r="G22" i="2" s="1"/>
  <c r="J42" i="7"/>
  <c r="F22" i="2" s="1"/>
  <c r="K40" i="7"/>
  <c r="L40" i="7" s="1"/>
  <c r="G20" i="2" s="1"/>
  <c r="J40" i="7"/>
  <c r="F20" i="2" s="1"/>
  <c r="E19" i="2"/>
  <c r="K39" i="7"/>
  <c r="J39" i="7"/>
  <c r="D20" i="6"/>
  <c r="F20" i="6" s="1"/>
  <c r="C21" i="6" s="1"/>
  <c r="D21" i="9"/>
  <c r="G14" i="6"/>
  <c r="D22" i="9" s="1"/>
  <c r="H16" i="3"/>
  <c r="K11" i="2"/>
  <c r="H14" i="6"/>
  <c r="J14" i="6" s="1"/>
  <c r="D19" i="10"/>
  <c r="D21" i="10" s="1"/>
  <c r="D22" i="10" s="1"/>
  <c r="D24" i="10" s="1"/>
  <c r="C28" i="10" s="1"/>
  <c r="D13" i="10"/>
  <c r="C12" i="9"/>
  <c r="C10" i="9"/>
  <c r="G30" i="6"/>
  <c r="G29" i="6"/>
  <c r="G28" i="6"/>
  <c r="G27" i="6"/>
  <c r="G26" i="6"/>
  <c r="G25" i="6"/>
  <c r="G24" i="6"/>
  <c r="G23" i="6"/>
  <c r="G22" i="6"/>
  <c r="G21" i="6"/>
  <c r="G20" i="6"/>
  <c r="G19" i="6"/>
  <c r="F21" i="7"/>
  <c r="F6" i="9" s="1"/>
  <c r="D15" i="2"/>
  <c r="D17" i="2" s="1"/>
  <c r="G21" i="7"/>
  <c r="G6" i="9" s="1"/>
  <c r="I20" i="7"/>
  <c r="H20" i="7"/>
  <c r="D20" i="3"/>
  <c r="C20" i="3"/>
  <c r="G44" i="7"/>
  <c r="F44" i="7"/>
  <c r="D24" i="2" s="1"/>
  <c r="C23" i="2"/>
  <c r="C26" i="2" s="1"/>
  <c r="C27" i="2" s="1"/>
  <c r="D46" i="7"/>
  <c r="D7" i="9" s="1"/>
  <c r="D8" i="9" s="1"/>
  <c r="D10" i="9" s="1"/>
  <c r="G43" i="7"/>
  <c r="F43" i="7"/>
  <c r="E46" i="7"/>
  <c r="E7" i="9" s="1"/>
  <c r="E8" i="9" s="1"/>
  <c r="I41" i="7"/>
  <c r="H41" i="7"/>
  <c r="G66" i="6" l="1"/>
  <c r="G65" i="6"/>
  <c r="G64" i="6"/>
  <c r="G63" i="6"/>
  <c r="G62" i="6"/>
  <c r="G61" i="6"/>
  <c r="G60" i="6"/>
  <c r="G59" i="6"/>
  <c r="G58" i="6"/>
  <c r="G57" i="6"/>
  <c r="G56" i="6"/>
  <c r="G55" i="6"/>
  <c r="E21" i="2"/>
  <c r="K41" i="7"/>
  <c r="L41" i="7" s="1"/>
  <c r="G21" i="2" s="1"/>
  <c r="J41" i="7"/>
  <c r="F21" i="2" s="1"/>
  <c r="E12" i="9"/>
  <c r="E10" i="9"/>
  <c r="G42" i="6"/>
  <c r="G41" i="6"/>
  <c r="G40" i="6"/>
  <c r="G39" i="6"/>
  <c r="G38" i="6"/>
  <c r="G37" i="6"/>
  <c r="G36" i="6"/>
  <c r="G35" i="6"/>
  <c r="G34" i="6"/>
  <c r="G33" i="6"/>
  <c r="G32" i="6"/>
  <c r="G31" i="6"/>
  <c r="D23" i="2"/>
  <c r="D26" i="2" s="1"/>
  <c r="F46" i="7"/>
  <c r="F7" i="9" s="1"/>
  <c r="I43" i="7"/>
  <c r="H43" i="7"/>
  <c r="G46" i="7"/>
  <c r="G7" i="9" s="1"/>
  <c r="D11" i="9"/>
  <c r="C30" i="2"/>
  <c r="C29" i="2"/>
  <c r="I44" i="7"/>
  <c r="H44" i="7"/>
  <c r="E24" i="2" s="1"/>
  <c r="H21" i="7"/>
  <c r="H6" i="9" s="1"/>
  <c r="E15" i="2"/>
  <c r="E17" i="2" s="1"/>
  <c r="I21" i="7"/>
  <c r="I6" i="9" s="1"/>
  <c r="K20" i="7"/>
  <c r="J20" i="7"/>
  <c r="G8" i="9"/>
  <c r="D27" i="2"/>
  <c r="F8" i="9"/>
  <c r="F10" i="9" s="1"/>
  <c r="H19" i="6"/>
  <c r="D28" i="10"/>
  <c r="D25" i="3" s="1"/>
  <c r="C25" i="3"/>
  <c r="D21" i="6"/>
  <c r="F21" i="6" s="1"/>
  <c r="C22" i="6" s="1"/>
  <c r="F19" i="2"/>
  <c r="L39" i="7"/>
  <c r="G78" i="6" l="1"/>
  <c r="G77" i="6"/>
  <c r="G76" i="6"/>
  <c r="G75" i="6"/>
  <c r="G74" i="6"/>
  <c r="G73" i="6"/>
  <c r="G72" i="6"/>
  <c r="G71" i="6"/>
  <c r="G70" i="6"/>
  <c r="G69" i="6"/>
  <c r="G68" i="6"/>
  <c r="G67" i="6"/>
  <c r="G19" i="2"/>
  <c r="D22" i="6"/>
  <c r="F22" i="6" s="1"/>
  <c r="C23" i="6" s="1"/>
  <c r="H20" i="6"/>
  <c r="I19" i="6"/>
  <c r="I18" i="6"/>
  <c r="F11" i="9"/>
  <c r="D30" i="2"/>
  <c r="D29" i="2"/>
  <c r="G12" i="9"/>
  <c r="G10" i="9"/>
  <c r="G54" i="6"/>
  <c r="G53" i="6"/>
  <c r="G52" i="6"/>
  <c r="G51" i="6"/>
  <c r="G50" i="6"/>
  <c r="G49" i="6"/>
  <c r="G48" i="6"/>
  <c r="G47" i="6"/>
  <c r="G46" i="6"/>
  <c r="G45" i="6"/>
  <c r="G44" i="6"/>
  <c r="G43" i="6"/>
  <c r="J21" i="7"/>
  <c r="J6" i="9" s="1"/>
  <c r="F15" i="2"/>
  <c r="F17" i="2" s="1"/>
  <c r="K21" i="7"/>
  <c r="K6" i="9" s="1"/>
  <c r="L20" i="7"/>
  <c r="K44" i="7"/>
  <c r="L44" i="7" s="1"/>
  <c r="G24" i="2" s="1"/>
  <c r="J44" i="7"/>
  <c r="F24" i="2" s="1"/>
  <c r="E23" i="2"/>
  <c r="E26" i="2" s="1"/>
  <c r="E27" i="2" s="1"/>
  <c r="H46" i="7"/>
  <c r="H7" i="9" s="1"/>
  <c r="H8" i="9" s="1"/>
  <c r="H10" i="9" s="1"/>
  <c r="K43" i="7"/>
  <c r="J43" i="7"/>
  <c r="I46" i="7"/>
  <c r="I7" i="9" s="1"/>
  <c r="I8" i="9" s="1"/>
  <c r="I12" i="9" l="1"/>
  <c r="I10" i="9"/>
  <c r="F23" i="2"/>
  <c r="F26" i="2" s="1"/>
  <c r="J46" i="7"/>
  <c r="J7" i="9" s="1"/>
  <c r="L43" i="7"/>
  <c r="K46" i="7"/>
  <c r="K7" i="9" s="1"/>
  <c r="H11" i="9"/>
  <c r="E30" i="2"/>
  <c r="E29" i="2"/>
  <c r="L21" i="7"/>
  <c r="L6" i="9" s="1"/>
  <c r="G15" i="2"/>
  <c r="G17" i="2" s="1"/>
  <c r="D19" i="9"/>
  <c r="K8" i="9"/>
  <c r="F27" i="2"/>
  <c r="J8" i="9"/>
  <c r="J10" i="9" s="1"/>
  <c r="H21" i="6"/>
  <c r="I20" i="6"/>
  <c r="D23" i="6"/>
  <c r="F23" i="6" s="1"/>
  <c r="C24" i="6" s="1"/>
  <c r="D24" i="6" l="1"/>
  <c r="F24" i="6" s="1"/>
  <c r="C25" i="6" s="1"/>
  <c r="H22" i="6"/>
  <c r="I21" i="6"/>
  <c r="J11" i="9"/>
  <c r="F30" i="2"/>
  <c r="F29" i="2"/>
  <c r="K12" i="9"/>
  <c r="K10" i="9"/>
  <c r="G23" i="2"/>
  <c r="G26" i="2" s="1"/>
  <c r="G27" i="2" s="1"/>
  <c r="L46" i="7"/>
  <c r="L7" i="9" s="1"/>
  <c r="L8" i="9" l="1"/>
  <c r="L10" i="9" s="1"/>
  <c r="D29" i="9" a="1"/>
  <c r="D29" i="9" s="1"/>
  <c r="D11" i="2" s="1"/>
  <c r="G30" i="2"/>
  <c r="G29" i="2"/>
  <c r="D26" i="9" a="1"/>
  <c r="D26" i="9" s="1"/>
  <c r="D9" i="2" s="1"/>
  <c r="D27" i="9"/>
  <c r="D10" i="2" s="1"/>
  <c r="H23" i="6"/>
  <c r="I22" i="6"/>
  <c r="D25" i="6"/>
  <c r="F25" i="6" s="1"/>
  <c r="C26" i="6" s="1"/>
  <c r="D26" i="6" l="1"/>
  <c r="F26" i="6" s="1"/>
  <c r="C27" i="6" s="1"/>
  <c r="H24" i="6"/>
  <c r="I23" i="6"/>
  <c r="L11" i="9"/>
  <c r="D25" i="9" s="1"/>
  <c r="D8" i="2" s="1"/>
  <c r="D28" i="9"/>
  <c r="H25" i="6" l="1"/>
  <c r="I24" i="6"/>
  <c r="D27" i="6"/>
  <c r="F27" i="6" s="1"/>
  <c r="C28" i="6" s="1"/>
  <c r="D28" i="6" l="1"/>
  <c r="F28" i="6" s="1"/>
  <c r="C29" i="6" s="1"/>
  <c r="H26" i="6"/>
  <c r="I25" i="6"/>
  <c r="H27" i="6" l="1"/>
  <c r="I26" i="6"/>
  <c r="D29" i="6"/>
  <c r="F29" i="6" s="1"/>
  <c r="C30" i="6" s="1"/>
  <c r="D30" i="6" l="1"/>
  <c r="F30" i="6" s="1"/>
  <c r="C31" i="6" s="1"/>
  <c r="H28" i="6"/>
  <c r="I27" i="6"/>
  <c r="H29" i="6" l="1"/>
  <c r="I28" i="6"/>
  <c r="D31" i="6"/>
  <c r="F31" i="6" s="1"/>
  <c r="C32" i="6" s="1"/>
  <c r="D32" i="6" l="1"/>
  <c r="F32" i="6" s="1"/>
  <c r="C33" i="6" s="1"/>
  <c r="H30" i="6"/>
  <c r="I29" i="6"/>
  <c r="H31" i="6" l="1"/>
  <c r="I30" i="6"/>
  <c r="D33" i="6"/>
  <c r="F33" i="6" s="1"/>
  <c r="C34" i="6" s="1"/>
  <c r="D34" i="6" l="1"/>
  <c r="F34" i="6" s="1"/>
  <c r="C35" i="6" s="1"/>
  <c r="H32" i="6"/>
  <c r="I31" i="6"/>
  <c r="H33" i="6" l="1"/>
  <c r="I32" i="6"/>
  <c r="D35" i="6"/>
  <c r="F35" i="6" s="1"/>
  <c r="C36" i="6" s="1"/>
  <c r="D36" i="6" l="1"/>
  <c r="F36" i="6" s="1"/>
  <c r="C37" i="6" s="1"/>
  <c r="H34" i="6"/>
  <c r="I33" i="6"/>
  <c r="H35" i="6" l="1"/>
  <c r="I34" i="6"/>
  <c r="D37" i="6"/>
  <c r="F37" i="6" s="1"/>
  <c r="C38" i="6" s="1"/>
  <c r="D38" i="6" l="1"/>
  <c r="F38" i="6" s="1"/>
  <c r="C39" i="6" s="1"/>
  <c r="H36" i="6"/>
  <c r="I35" i="6"/>
  <c r="H37" i="6" l="1"/>
  <c r="I36" i="6"/>
  <c r="D39" i="6"/>
  <c r="F39" i="6" s="1"/>
  <c r="C40" i="6" s="1"/>
  <c r="D40" i="6" l="1"/>
  <c r="F40" i="6" s="1"/>
  <c r="C41" i="6" s="1"/>
  <c r="H38" i="6"/>
  <c r="I37" i="6"/>
  <c r="H39" i="6" l="1"/>
  <c r="I38" i="6"/>
  <c r="D41" i="6"/>
  <c r="F41" i="6" s="1"/>
  <c r="C42" i="6" s="1"/>
  <c r="D42" i="6" l="1"/>
  <c r="F42" i="6" s="1"/>
  <c r="C43" i="6" s="1"/>
  <c r="H40" i="6"/>
  <c r="I39" i="6"/>
  <c r="H41" i="6" l="1"/>
  <c r="I40" i="6"/>
  <c r="D43" i="6"/>
  <c r="F43" i="6" s="1"/>
  <c r="C44" i="6" s="1"/>
  <c r="D44" i="6" l="1"/>
  <c r="F44" i="6" s="1"/>
  <c r="C45" i="6" s="1"/>
  <c r="H42" i="6"/>
  <c r="I41" i="6"/>
  <c r="H43" i="6" l="1"/>
  <c r="I42" i="6"/>
  <c r="D45" i="6"/>
  <c r="F45" i="6" s="1"/>
  <c r="C46" i="6" s="1"/>
  <c r="D46" i="6" l="1"/>
  <c r="F46" i="6" s="1"/>
  <c r="C47" i="6" s="1"/>
  <c r="H44" i="6"/>
  <c r="I43" i="6"/>
  <c r="H45" i="6" l="1"/>
  <c r="I44" i="6"/>
  <c r="D47" i="6"/>
  <c r="F47" i="6" s="1"/>
  <c r="C48" i="6" s="1"/>
  <c r="D48" i="6" l="1"/>
  <c r="F48" i="6" s="1"/>
  <c r="C49" i="6" s="1"/>
  <c r="H46" i="6"/>
  <c r="I45" i="6"/>
  <c r="H47" i="6" l="1"/>
  <c r="I46" i="6"/>
  <c r="D49" i="6"/>
  <c r="F49" i="6" s="1"/>
  <c r="C50" i="6" s="1"/>
  <c r="D50" i="6" l="1"/>
  <c r="F50" i="6" s="1"/>
  <c r="C51" i="6" s="1"/>
  <c r="H48" i="6"/>
  <c r="I47" i="6"/>
  <c r="H49" i="6" l="1"/>
  <c r="I48" i="6"/>
  <c r="D51" i="6"/>
  <c r="F51" i="6" s="1"/>
  <c r="C52" i="6" s="1"/>
  <c r="D52" i="6" l="1"/>
  <c r="F52" i="6" s="1"/>
  <c r="C53" i="6" s="1"/>
  <c r="H50" i="6"/>
  <c r="I49" i="6"/>
  <c r="H51" i="6" l="1"/>
  <c r="I50" i="6"/>
  <c r="D53" i="6"/>
  <c r="F53" i="6" s="1"/>
  <c r="C54" i="6" s="1"/>
  <c r="D54" i="6" l="1"/>
  <c r="F54" i="6" s="1"/>
  <c r="C55" i="6" s="1"/>
  <c r="D55" i="6" s="1"/>
  <c r="F55" i="6" s="1"/>
  <c r="C56" i="6" s="1"/>
  <c r="D56" i="6" s="1"/>
  <c r="F56" i="6" s="1"/>
  <c r="C57" i="6" s="1"/>
  <c r="D57" i="6" s="1"/>
  <c r="F57" i="6" s="1"/>
  <c r="C58" i="6" s="1"/>
  <c r="D58" i="6" s="1"/>
  <c r="F58" i="6" s="1"/>
  <c r="C59" i="6" s="1"/>
  <c r="D59" i="6" s="1"/>
  <c r="F59" i="6" s="1"/>
  <c r="C60" i="6" s="1"/>
  <c r="D60" i="6" s="1"/>
  <c r="F60" i="6" s="1"/>
  <c r="C61" i="6" s="1"/>
  <c r="D61" i="6" s="1"/>
  <c r="F61" i="6" s="1"/>
  <c r="C62" i="6" s="1"/>
  <c r="D62" i="6" s="1"/>
  <c r="F62" i="6" s="1"/>
  <c r="C63" i="6" s="1"/>
  <c r="D63" i="6" s="1"/>
  <c r="F63" i="6" s="1"/>
  <c r="C64" i="6" s="1"/>
  <c r="D64" i="6" s="1"/>
  <c r="F64" i="6" s="1"/>
  <c r="C65" i="6" s="1"/>
  <c r="D65" i="6" s="1"/>
  <c r="F65" i="6" s="1"/>
  <c r="C66" i="6" s="1"/>
  <c r="D66" i="6" s="1"/>
  <c r="F66" i="6" s="1"/>
  <c r="C67" i="6" s="1"/>
  <c r="D67" i="6" s="1"/>
  <c r="F67" i="6" s="1"/>
  <c r="C68" i="6" s="1"/>
  <c r="D68" i="6" s="1"/>
  <c r="F68" i="6" s="1"/>
  <c r="C69" i="6" s="1"/>
  <c r="D69" i="6" s="1"/>
  <c r="F69" i="6" s="1"/>
  <c r="C70" i="6" s="1"/>
  <c r="D70" i="6" s="1"/>
  <c r="F70" i="6" s="1"/>
  <c r="C71" i="6" s="1"/>
  <c r="D71" i="6" s="1"/>
  <c r="F71" i="6" s="1"/>
  <c r="C72" i="6" s="1"/>
  <c r="D72" i="6" s="1"/>
  <c r="F72" i="6" s="1"/>
  <c r="C73" i="6" s="1"/>
  <c r="D73" i="6" s="1"/>
  <c r="F73" i="6" s="1"/>
  <c r="C74" i="6" s="1"/>
  <c r="D74" i="6" s="1"/>
  <c r="F74" i="6" s="1"/>
  <c r="C75" i="6" s="1"/>
  <c r="D75" i="6" s="1"/>
  <c r="F75" i="6" s="1"/>
  <c r="C76" i="6" s="1"/>
  <c r="D76" i="6" s="1"/>
  <c r="F76" i="6" s="1"/>
  <c r="C77" i="6" s="1"/>
  <c r="D77" i="6" s="1"/>
  <c r="F77" i="6" s="1"/>
  <c r="C78" i="6" s="1"/>
  <c r="D78" i="6" s="1"/>
  <c r="F78" i="6" s="1"/>
  <c r="H52" i="6"/>
  <c r="I51" i="6"/>
  <c r="H53" i="6" l="1"/>
  <c r="I52" i="6"/>
  <c r="H54" i="6" l="1"/>
  <c r="H55" i="6" s="1"/>
  <c r="I53" i="6"/>
  <c r="H56" i="6" l="1"/>
  <c r="I55" i="6"/>
  <c r="I54" i="6"/>
  <c r="H57" i="6" l="1"/>
  <c r="I56" i="6"/>
  <c r="H58" i="6" l="1"/>
  <c r="I57" i="6"/>
  <c r="H59" i="6" l="1"/>
  <c r="I58" i="6"/>
  <c r="H60" i="6" l="1"/>
  <c r="I59" i="6"/>
  <c r="H61" i="6" l="1"/>
  <c r="I60" i="6"/>
  <c r="H62" i="6" l="1"/>
  <c r="I61" i="6"/>
  <c r="H63" i="6" l="1"/>
  <c r="I62" i="6"/>
  <c r="H64" i="6" l="1"/>
  <c r="I63" i="6"/>
  <c r="H65" i="6" l="1"/>
  <c r="I64" i="6"/>
  <c r="H66" i="6" l="1"/>
  <c r="I65" i="6"/>
  <c r="H67" i="6" l="1"/>
  <c r="I66" i="6"/>
  <c r="H68" i="6" l="1"/>
  <c r="I67" i="6"/>
  <c r="H69" i="6" l="1"/>
  <c r="I68" i="6"/>
  <c r="H70" i="6" l="1"/>
  <c r="I69" i="6"/>
  <c r="H71" i="6" l="1"/>
  <c r="I70" i="6"/>
  <c r="H72" i="6" l="1"/>
  <c r="I71" i="6"/>
  <c r="H73" i="6" l="1"/>
  <c r="I72" i="6"/>
  <c r="H74" i="6" l="1"/>
  <c r="I73" i="6"/>
  <c r="H75" i="6" l="1"/>
  <c r="I74" i="6"/>
  <c r="H76" i="6" l="1"/>
  <c r="I75" i="6"/>
  <c r="H77" i="6" l="1"/>
  <c r="I76" i="6"/>
  <c r="H78" i="6" l="1"/>
  <c r="I78" i="6" s="1"/>
  <c r="I77" i="6"/>
  <c r="D24" i="9" l="1"/>
  <c r="H17" i="3"/>
  <c r="K1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<sst xmlns="http://schemas.openxmlformats.org/spreadsheetml/2006/main" count="336" uniqueCount="176">
  <si>
    <t>Solar Bulk Milk Chiller</t>
  </si>
  <si>
    <t>Output</t>
  </si>
  <si>
    <t>Discount Rate (NPV)</t>
  </si>
  <si>
    <t>Sr. No.</t>
  </si>
  <si>
    <t>Key Financial Data and Analysis</t>
  </si>
  <si>
    <t>Capital Costs</t>
  </si>
  <si>
    <t>Amount (₹)</t>
  </si>
  <si>
    <t>Loan Financing</t>
  </si>
  <si>
    <t>Machine + Solar Cost</t>
  </si>
  <si>
    <t>Loan Amount Taken</t>
  </si>
  <si>
    <t>Other costs</t>
  </si>
  <si>
    <t>Down Payment</t>
  </si>
  <si>
    <t>ROI per annum</t>
  </si>
  <si>
    <t>Total Capital Cost</t>
  </si>
  <si>
    <t>Interest Rate</t>
  </si>
  <si>
    <t>NPV</t>
  </si>
  <si>
    <t>No. of Installments (months)</t>
  </si>
  <si>
    <t>IRR</t>
  </si>
  <si>
    <t>EMI (per month/installment)</t>
  </si>
  <si>
    <t>Benefit-Cost Ratio (BCR)</t>
  </si>
  <si>
    <t>Loan Repayment (incl. interest)</t>
  </si>
  <si>
    <t>Payback Period (months)</t>
  </si>
  <si>
    <t>Particulars</t>
  </si>
  <si>
    <t>Year 1</t>
  </si>
  <si>
    <t>Year 2</t>
  </si>
  <si>
    <t>Year 3</t>
  </si>
  <si>
    <t>Year 4</t>
  </si>
  <si>
    <t>Year 5</t>
  </si>
  <si>
    <t>Revenue</t>
  </si>
  <si>
    <t>a</t>
  </si>
  <si>
    <t>b</t>
  </si>
  <si>
    <t>Total Revenue</t>
  </si>
  <si>
    <t>Expenses</t>
  </si>
  <si>
    <t>Total Expenses</t>
  </si>
  <si>
    <t>Operating Profit/ (Loss) - Before EMI</t>
  </si>
  <si>
    <t>EMI</t>
  </si>
  <si>
    <t>Net Profit / (Loss)</t>
  </si>
  <si>
    <t>Debt Service Coverage Ratio (DSCR)</t>
  </si>
  <si>
    <t>Monthly</t>
  </si>
  <si>
    <t>Yearly</t>
  </si>
  <si>
    <t>Loan Repayment</t>
  </si>
  <si>
    <t>Breakeven Analysis</t>
  </si>
  <si>
    <t>Output (Liters)</t>
  </si>
  <si>
    <t>Revenue (₹)</t>
  </si>
  <si>
    <t>At max production (per month)</t>
  </si>
  <si>
    <t>At breakeven</t>
  </si>
  <si>
    <t>Frequency of raw material costs</t>
  </si>
  <si>
    <t>time(s) every year</t>
  </si>
  <si>
    <t>Frequency</t>
  </si>
  <si>
    <t>Daily</t>
  </si>
  <si>
    <t>Fortnightly</t>
  </si>
  <si>
    <t>Raw Material</t>
  </si>
  <si>
    <t>Quarterly</t>
  </si>
  <si>
    <t>Other Expenses (including EMI)</t>
  </si>
  <si>
    <t>Semi-annually</t>
  </si>
  <si>
    <t> </t>
  </si>
  <si>
    <t>Working Capital</t>
  </si>
  <si>
    <t>Note: This is only taking year 1 numbers</t>
  </si>
  <si>
    <t>Instructions</t>
  </si>
  <si>
    <t>Color</t>
  </si>
  <si>
    <t>Meaning</t>
  </si>
  <si>
    <t>Only edits cells that have this background color (Input cells)</t>
  </si>
  <si>
    <t>Should not contain any values (Not Applicable - NA)</t>
  </si>
  <si>
    <t>Values that an user would focus on (adds emphasis)</t>
  </si>
  <si>
    <t>Blue</t>
  </si>
  <si>
    <t>Values hardcoded (input cells)</t>
  </si>
  <si>
    <t>Black</t>
  </si>
  <si>
    <t>Values calculated in the cell</t>
  </si>
  <si>
    <t>Green</t>
  </si>
  <si>
    <t>Values that have been pulled from another cell where data has been inputted or calculated</t>
  </si>
  <si>
    <t>Red</t>
  </si>
  <si>
    <t>Comments in specific areas to help users use this model or get additional context on the business</t>
  </si>
  <si>
    <t>Pink</t>
  </si>
  <si>
    <t>Value assumed to be the same as the previous period</t>
  </si>
  <si>
    <t>Inputs</t>
  </si>
  <si>
    <t>NOTE:</t>
  </si>
  <si>
    <t>Only fill cells that have this color in the cell and where the text color is blue</t>
  </si>
  <si>
    <t>Case</t>
  </si>
  <si>
    <t>Average</t>
  </si>
  <si>
    <t>Utilization and Revenue</t>
  </si>
  <si>
    <t>Y1</t>
  </si>
  <si>
    <t>Y2</t>
  </si>
  <si>
    <t>Y3</t>
  </si>
  <si>
    <t>Y4</t>
  </si>
  <si>
    <t>Y5</t>
  </si>
  <si>
    <t>Utilization</t>
  </si>
  <si>
    <t xml:space="preserve">System design (Liters/day) </t>
  </si>
  <si>
    <t>Best</t>
  </si>
  <si>
    <t>Working Days per Month</t>
  </si>
  <si>
    <t>Worst</t>
  </si>
  <si>
    <t>Working Months per Year (Cyclicity)</t>
  </si>
  <si>
    <t>Outputs</t>
  </si>
  <si>
    <t>Liters/month</t>
  </si>
  <si>
    <t>Incremental rate in price</t>
  </si>
  <si>
    <t>Selling Price per Liter</t>
  </si>
  <si>
    <t>Monthly inflows (Y1)</t>
  </si>
  <si>
    <t>%age increase in output (YoY)</t>
  </si>
  <si>
    <t>Milk Sold</t>
  </si>
  <si>
    <t>&lt;&lt;&lt; 2% wastage in milk</t>
  </si>
  <si>
    <t>Cost per month</t>
  </si>
  <si>
    <t>Type</t>
  </si>
  <si>
    <t>Growth rate or %age of x</t>
  </si>
  <si>
    <t>Total Cost per annum</t>
  </si>
  <si>
    <t>Human Resource</t>
  </si>
  <si>
    <t>Fixed Cost</t>
  </si>
  <si>
    <t>Rent and Maintenance</t>
  </si>
  <si>
    <t>Raw Material (Cow Milk)</t>
  </si>
  <si>
    <t>Variable Cost</t>
  </si>
  <si>
    <t>Electricity</t>
  </si>
  <si>
    <t>Transport</t>
  </si>
  <si>
    <t>Packaging</t>
  </si>
  <si>
    <t>Other Expenses</t>
  </si>
  <si>
    <t>Total Cost (₹)</t>
  </si>
  <si>
    <t>Other Costs (Installation cost including GST)</t>
  </si>
  <si>
    <t>Furniture and fixtures</t>
  </si>
  <si>
    <t>Other Inputs</t>
  </si>
  <si>
    <t>Desired Profit (for breakeven analysis)</t>
  </si>
  <si>
    <t>Desired EMI</t>
  </si>
  <si>
    <t>NPV Discount Rate</t>
  </si>
  <si>
    <t>Sources of Funds and Viable Financial Products</t>
  </si>
  <si>
    <r>
      <rPr>
        <b/>
        <sz val="10"/>
        <color rgb="FFFF0000"/>
        <rFont val="Calibri"/>
      </rPr>
      <t>NOTE:</t>
    </r>
    <r>
      <rPr>
        <b/>
        <sz val="10"/>
        <color rgb="FF0000FF"/>
        <rFont val="Calibri"/>
      </rPr>
      <t xml:space="preserve"> Only fill cells that have this color in the cell and where the text color is blue</t>
    </r>
  </si>
  <si>
    <t>Source of Fund</t>
  </si>
  <si>
    <t>AMOUNT</t>
  </si>
  <si>
    <t>Percentage</t>
  </si>
  <si>
    <t>Machine cost</t>
  </si>
  <si>
    <t>End User Contribution</t>
  </si>
  <si>
    <t>Loan Amount</t>
  </si>
  <si>
    <t>Gap finance</t>
  </si>
  <si>
    <t>Total Cost</t>
  </si>
  <si>
    <t>Loan</t>
  </si>
  <si>
    <t>Total</t>
  </si>
  <si>
    <t>No of instalments</t>
  </si>
  <si>
    <t>Down payment</t>
  </si>
  <si>
    <t>Loan repayment</t>
  </si>
  <si>
    <t>Interest amt</t>
  </si>
  <si>
    <t>Capital Cost including finance costs</t>
  </si>
  <si>
    <t>PV based on desired EMI</t>
  </si>
  <si>
    <t>Gap Finance Amount</t>
  </si>
  <si>
    <t>&lt;&lt;&lt; Selected the financial model you wish to go ahead with; only fill cells B13 and C13</t>
  </si>
  <si>
    <t>Financing Table</t>
  </si>
  <si>
    <t>Tenure</t>
  </si>
  <si>
    <t>Outstanding loan at the beginning</t>
  </si>
  <si>
    <t>Interest</t>
  </si>
  <si>
    <t>Outstanding loan at the end</t>
  </si>
  <si>
    <t>Cumulative Cash Flows</t>
  </si>
  <si>
    <t xml:space="preserve">Payback </t>
  </si>
  <si>
    <t>Assumptions</t>
  </si>
  <si>
    <t>Machinery Utilization</t>
  </si>
  <si>
    <t>Revenue Drivers</t>
  </si>
  <si>
    <t>Per Month</t>
  </si>
  <si>
    <t>Annual</t>
  </si>
  <si>
    <t>Quantity (Liters)</t>
  </si>
  <si>
    <t>Selling Price (₹/L)</t>
  </si>
  <si>
    <t>Cost Drivers</t>
  </si>
  <si>
    <t>Total Cost/ Cost per month</t>
  </si>
  <si>
    <t>TOTAL</t>
  </si>
  <si>
    <t>Costs</t>
  </si>
  <si>
    <t>Financial Overview</t>
  </si>
  <si>
    <t>Operating Profit / (Loss) - Before EMI</t>
  </si>
  <si>
    <t>Discount Rate</t>
  </si>
  <si>
    <t>End User Contribution (Downpayment)</t>
  </si>
  <si>
    <t>Initial Loan (Loan Taken)</t>
  </si>
  <si>
    <t>Average Quantity Sold per Year</t>
  </si>
  <si>
    <t>Total Interest on Loan</t>
  </si>
  <si>
    <t>Average annual profit for entrepreneur</t>
  </si>
  <si>
    <t>Tailoring - Industrial Solar Bulk Milk Chiller</t>
  </si>
  <si>
    <t>₹ per month</t>
  </si>
  <si>
    <t>Total Cash Costs</t>
  </si>
  <si>
    <t>Balance (Revenue - Variable Cost)</t>
  </si>
  <si>
    <t>Margin (%)</t>
  </si>
  <si>
    <t>Desired Profit</t>
  </si>
  <si>
    <t>Total Contribution</t>
  </si>
  <si>
    <t>Breakeven Cash Revenue</t>
  </si>
  <si>
    <t>Price per unit</t>
  </si>
  <si>
    <t>Breakeven Output</t>
  </si>
  <si>
    <t>Bookends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</si>
</sst>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[$₹]#,##0"/>
    <numFmt numFmtId="166" formatCode="[$₹]\ \ #,##0"/>
    <numFmt numFmtId="167" formatCode="&quot;$&quot;#,##0"/>
    <numFmt numFmtId="168" formatCode="&quot;₹&quot;\ #,##0;[Red]&quot;₹&quot;\ \-#,##0"/>
    <numFmt numFmtId="169" formatCode="#,##0.00\x"/>
    <numFmt numFmtId="170" formatCode="&quot;₹&quot;\ #,##0"/>
    <numFmt numFmtId="171" formatCode="&quot;$&quot;#,##0.00"/>
    <numFmt numFmtId="172" formatCode="_ * #,##0.0_ ;_ * \-#,##0.0_ ;_ * &quot;-&quot;??.0_ ;_ @_ "/>
    <numFmt numFmtId="173" formatCode="0.0%"/>
    <numFmt numFmtId="174" formatCode="[$₹]#,##0.00"/>
    <numFmt numFmtId="175" formatCode="[$₹]#,##0.0"/>
    <numFmt numFmtId="176" formatCode="0.0"/>
    <numFmt numFmtId="177" formatCode="[$₹]#,##0.0000"/>
    <numFmt numFmtId="178" formatCode="_ * #,##0_ ;_ * \-#,##0_ ;_ * &quot;-&quot;??_ ;_ @_ "/>
    <numFmt numFmtId="179" formatCode="[$₹-820]#,##0"/>
  </numFmts>
  <fonts count="42">
    <font>
      <sz val="11"/>
      <color rgb="FF000000"/>
      <name val="Calibri"/>
      <scheme val="minor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70AD46"/>
      <name val="Calibri"/>
    </font>
    <font>
      <b/>
      <sz val="10"/>
      <color rgb="FF70AD46"/>
      <name val="Calibri"/>
    </font>
    <font>
      <b/>
      <sz val="10"/>
      <color rgb="FFFFFFFF"/>
      <name val="Calibri"/>
    </font>
    <font>
      <sz val="11"/>
      <name val="Calibri"/>
    </font>
    <font>
      <sz val="11"/>
      <color rgb="FF000000"/>
      <name val="Calibri"/>
    </font>
    <font>
      <sz val="10"/>
      <color theme="9"/>
      <name val="Calibri"/>
    </font>
    <font>
      <sz val="10"/>
      <color rgb="FFFFFFFF"/>
      <name val="Calibri"/>
    </font>
    <font>
      <sz val="10"/>
      <color rgb="FF70AD47"/>
      <name val="Calibri"/>
    </font>
    <font>
      <sz val="11"/>
      <color rgb="FFFFFFFF"/>
      <name val="Calibri"/>
    </font>
    <font>
      <sz val="10"/>
      <color theme="1"/>
      <name val="Calibri"/>
    </font>
    <font>
      <b/>
      <sz val="11"/>
      <color rgb="FF000000"/>
      <name val="Calibri"/>
    </font>
    <font>
      <sz val="11"/>
      <color rgb="FF0000FF"/>
      <name val="Calibri"/>
    </font>
    <font>
      <sz val="11"/>
      <color rgb="FF70AD46"/>
      <name val="Calibri"/>
    </font>
    <font>
      <sz val="11"/>
      <color rgb="FFFF0000"/>
      <name val="Calibri"/>
    </font>
    <font>
      <b/>
      <sz val="12"/>
      <color rgb="FFFF0000"/>
      <name val="Calibri"/>
    </font>
    <font>
      <b/>
      <sz val="12"/>
      <color rgb="FF0000FF"/>
      <name val="Calibri"/>
    </font>
    <font>
      <b/>
      <sz val="10"/>
      <color theme="1"/>
      <name val="Calibri"/>
    </font>
    <font>
      <sz val="10"/>
      <color rgb="FF0000FF"/>
      <name val="Calibri"/>
    </font>
    <font>
      <i/>
      <sz val="10"/>
      <color rgb="FFFF0000"/>
      <name val="Calibri"/>
    </font>
    <font>
      <sz val="11"/>
      <color theme="1"/>
      <name val="Calibri"/>
    </font>
    <font>
      <i/>
      <sz val="11"/>
      <color rgb="FFFF0000"/>
      <name val="Calibri"/>
    </font>
    <font>
      <b/>
      <sz val="10"/>
      <color rgb="FF0000FF"/>
      <name val="Calibri"/>
    </font>
    <font>
      <i/>
      <sz val="10"/>
      <color rgb="FF000000"/>
      <name val="Calibri"/>
    </font>
    <font>
      <i/>
      <sz val="10"/>
      <color theme="9"/>
      <name val="Calibri"/>
    </font>
    <font>
      <i/>
      <sz val="10"/>
      <color rgb="FFFF00FF"/>
      <name val="Calibri"/>
    </font>
    <font>
      <i/>
      <sz val="10"/>
      <color rgb="FF0000FF"/>
      <name val="Calibri"/>
    </font>
    <font>
      <sz val="10"/>
      <color rgb="FFFF0000"/>
      <name val="Calibri"/>
    </font>
    <font>
      <b/>
      <sz val="10"/>
      <color rgb="FFFF0000"/>
      <name val="Calibri"/>
    </font>
    <font>
      <sz val="11"/>
      <color rgb="FFFF00FF"/>
      <name val="Calibri"/>
    </font>
    <font>
      <b/>
      <sz val="11"/>
      <color theme="0"/>
      <name val="Calibri"/>
    </font>
    <font>
      <b/>
      <sz val="10"/>
      <color theme="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rgb="FF70AD47"/>
      <name val="Calibri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999999"/>
        <bgColor rgb="FF999999"/>
      </patternFill>
    </fill>
    <fill>
      <patternFill patternType="solid">
        <fgColor rgb="FFFEF2CB"/>
        <bgColor rgb="FFFEF2CB"/>
      </patternFill>
    </fill>
    <fill>
      <patternFill patternType="solid">
        <fgColor rgb="FF00000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B7B7B7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/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999999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282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9" fontId="4" fillId="0" borderId="2" xfId="0" applyNumberFormat="1" applyFont="1" applyBorder="1"/>
    <xf numFmtId="10" fontId="2" fillId="0" borderId="0" xfId="0" applyNumberFormat="1" applyFont="1"/>
    <xf numFmtId="167" fontId="2" fillId="0" borderId="0" xfId="0" applyNumberFormat="1" applyFont="1"/>
    <xf numFmtId="165" fontId="2" fillId="0" borderId="0" xfId="0" applyNumberFormat="1" applyFont="1"/>
    <xf numFmtId="0" fontId="9" fillId="0" borderId="0" xfId="0" applyFont="1"/>
    <xf numFmtId="0" fontId="2" fillId="0" borderId="0" xfId="0" applyFont="1" applyAlignment="1">
      <alignment horizontal="center"/>
    </xf>
    <xf numFmtId="165" fontId="3" fillId="0" borderId="0" xfId="0" applyNumberFormat="1" applyFont="1"/>
    <xf numFmtId="3" fontId="2" fillId="0" borderId="0" xfId="0" applyNumberFormat="1" applyFont="1"/>
    <xf numFmtId="171" fontId="2" fillId="0" borderId="0" xfId="0" applyNumberFormat="1" applyFont="1"/>
    <xf numFmtId="166" fontId="10" fillId="0" borderId="0" xfId="0" applyNumberFormat="1" applyFont="1"/>
    <xf numFmtId="166" fontId="3" fillId="0" borderId="0" xfId="0" applyNumberFormat="1" applyFont="1"/>
    <xf numFmtId="166" fontId="8" fillId="0" borderId="0" xfId="0" applyNumberFormat="1" applyFont="1"/>
    <xf numFmtId="166" fontId="1" fillId="0" borderId="0" xfId="0" applyNumberFormat="1" applyFont="1"/>
    <xf numFmtId="0" fontId="2" fillId="3" borderId="3" xfId="0" applyFont="1" applyFill="1" applyBorder="1" applyAlignment="1">
      <alignment horizontal="center"/>
    </xf>
    <xf numFmtId="0" fontId="1" fillId="3" borderId="3" xfId="0" applyFont="1" applyFill="1" applyBorder="1"/>
    <xf numFmtId="166" fontId="1" fillId="3" borderId="3" xfId="0" applyNumberFormat="1" applyFont="1" applyFill="1" applyBorder="1"/>
    <xf numFmtId="169" fontId="1" fillId="0" borderId="0" xfId="0" applyNumberFormat="1" applyFont="1"/>
    <xf numFmtId="0" fontId="11" fillId="0" borderId="0" xfId="0" applyFont="1"/>
    <xf numFmtId="0" fontId="5" fillId="2" borderId="4" xfId="0" applyFont="1" applyFill="1" applyBorder="1" applyAlignment="1">
      <alignment horizontal="center"/>
    </xf>
    <xf numFmtId="164" fontId="2" fillId="0" borderId="0" xfId="0" applyNumberFormat="1" applyFont="1"/>
    <xf numFmtId="166" fontId="9" fillId="0" borderId="0" xfId="0" applyNumberFormat="1" applyFont="1"/>
    <xf numFmtId="0" fontId="1" fillId="3" borderId="5" xfId="0" applyFont="1" applyFill="1" applyBorder="1" applyAlignment="1">
      <alignment horizontal="left"/>
    </xf>
    <xf numFmtId="165" fontId="1" fillId="3" borderId="5" xfId="0" applyNumberFormat="1" applyFont="1" applyFill="1" applyBorder="1" applyAlignment="1">
      <alignment horizontal="right"/>
    </xf>
    <xf numFmtId="166" fontId="7" fillId="0" borderId="0" xfId="0" applyNumberFormat="1" applyFont="1"/>
    <xf numFmtId="0" fontId="7" fillId="0" borderId="0" xfId="0" applyFont="1"/>
    <xf numFmtId="0" fontId="21" fillId="0" borderId="0" xfId="0" applyFont="1"/>
    <xf numFmtId="0" fontId="1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2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8" fontId="2" fillId="0" borderId="0" xfId="0" applyNumberFormat="1" applyFont="1"/>
    <xf numFmtId="0" fontId="2" fillId="0" borderId="8" xfId="0" applyFont="1" applyBorder="1" applyAlignment="1">
      <alignment horizontal="left"/>
    </xf>
    <xf numFmtId="165" fontId="3" fillId="0" borderId="8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8" xfId="0" applyFont="1" applyBorder="1"/>
    <xf numFmtId="10" fontId="20" fillId="4" borderId="14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left"/>
    </xf>
    <xf numFmtId="0" fontId="2" fillId="0" borderId="1" xfId="0" applyFont="1" applyBorder="1"/>
    <xf numFmtId="178" fontId="3" fillId="0" borderId="2" xfId="0" applyNumberFormat="1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165" fontId="1" fillId="0" borderId="15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0" fontId="1" fillId="0" borderId="8" xfId="0" applyFont="1" applyBorder="1"/>
    <xf numFmtId="9" fontId="2" fillId="0" borderId="0" xfId="0" applyNumberFormat="1" applyFont="1"/>
    <xf numFmtId="9" fontId="20" fillId="4" borderId="16" xfId="0" applyNumberFormat="1" applyFont="1" applyFill="1" applyBorder="1" applyAlignment="1">
      <alignment horizontal="center" vertical="center"/>
    </xf>
    <xf numFmtId="1" fontId="20" fillId="4" borderId="16" xfId="0" applyNumberFormat="1" applyFont="1" applyFill="1" applyBorder="1" applyAlignment="1">
      <alignment horizontal="center" vertical="center"/>
    </xf>
    <xf numFmtId="178" fontId="2" fillId="3" borderId="16" xfId="0" applyNumberFormat="1" applyFont="1" applyFill="1" applyBorder="1" applyAlignment="1">
      <alignment horizontal="center" vertical="center"/>
    </xf>
    <xf numFmtId="168" fontId="2" fillId="3" borderId="16" xfId="0" applyNumberFormat="1" applyFont="1" applyFill="1" applyBorder="1"/>
    <xf numFmtId="178" fontId="20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68" fontId="3" fillId="0" borderId="0" xfId="0" applyNumberFormat="1" applyFont="1"/>
    <xf numFmtId="165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3" fontId="7" fillId="0" borderId="0" xfId="0" applyNumberFormat="1" applyFont="1"/>
    <xf numFmtId="173" fontId="8" fillId="0" borderId="0" xfId="0" applyNumberFormat="1" applyFont="1"/>
    <xf numFmtId="3" fontId="14" fillId="0" borderId="0" xfId="0" applyNumberFormat="1" applyFont="1"/>
    <xf numFmtId="4" fontId="7" fillId="0" borderId="0" xfId="0" applyNumberFormat="1" applyFont="1"/>
    <xf numFmtId="171" fontId="25" fillId="0" borderId="0" xfId="0" applyNumberFormat="1" applyFont="1"/>
    <xf numFmtId="165" fontId="26" fillId="0" borderId="0" xfId="0" applyNumberFormat="1" applyFont="1"/>
    <xf numFmtId="165" fontId="27" fillId="0" borderId="0" xfId="0" applyNumberFormat="1" applyFont="1"/>
    <xf numFmtId="165" fontId="25" fillId="0" borderId="0" xfId="0" applyNumberFormat="1" applyFont="1"/>
    <xf numFmtId="0" fontId="25" fillId="0" borderId="0" xfId="0" applyFont="1"/>
    <xf numFmtId="168" fontId="10" fillId="0" borderId="0" xfId="0" applyNumberFormat="1" applyFont="1"/>
    <xf numFmtId="170" fontId="2" fillId="0" borderId="0" xfId="0" applyNumberFormat="1" applyFont="1"/>
    <xf numFmtId="0" fontId="25" fillId="0" borderId="0" xfId="0" applyFont="1" applyAlignment="1">
      <alignment horizontal="right"/>
    </xf>
    <xf numFmtId="169" fontId="2" fillId="0" borderId="0" xfId="0" applyNumberFormat="1" applyFont="1"/>
    <xf numFmtId="2" fontId="7" fillId="0" borderId="0" xfId="0" applyNumberFormat="1" applyFont="1"/>
    <xf numFmtId="0" fontId="28" fillId="0" borderId="0" xfId="0" applyFont="1"/>
    <xf numFmtId="0" fontId="5" fillId="2" borderId="11" xfId="0" applyFont="1" applyFill="1" applyBorder="1"/>
    <xf numFmtId="0" fontId="5" fillId="2" borderId="11" xfId="0" applyFont="1" applyFill="1" applyBorder="1" applyAlignment="1">
      <alignment horizontal="right" wrapText="1"/>
    </xf>
    <xf numFmtId="0" fontId="29" fillId="0" borderId="0" xfId="0" applyFont="1"/>
    <xf numFmtId="0" fontId="2" fillId="0" borderId="20" xfId="0" applyFont="1" applyBorder="1" applyAlignment="1">
      <alignment horizontal="center"/>
    </xf>
    <xf numFmtId="0" fontId="2" fillId="0" borderId="20" xfId="0" applyFont="1" applyBorder="1"/>
    <xf numFmtId="165" fontId="2" fillId="0" borderId="20" xfId="0" applyNumberFormat="1" applyFont="1" applyBorder="1"/>
    <xf numFmtId="172" fontId="3" fillId="0" borderId="0" xfId="0" applyNumberFormat="1" applyFont="1" applyAlignment="1">
      <alignment horizontal="right"/>
    </xf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0" fillId="0" borderId="23" xfId="0" applyBorder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20" fillId="4" borderId="7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164" fontId="20" fillId="4" borderId="9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4" fontId="20" fillId="0" borderId="10" xfId="0" applyNumberFormat="1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20" fillId="4" borderId="11" xfId="0" applyNumberFormat="1" applyFont="1" applyFill="1" applyBorder="1" applyAlignment="1">
      <alignment vertical="center"/>
    </xf>
    <xf numFmtId="9" fontId="20" fillId="6" borderId="11" xfId="0" applyNumberFormat="1" applyFont="1" applyFill="1" applyBorder="1" applyAlignment="1">
      <alignment horizontal="right" vertical="center"/>
    </xf>
    <xf numFmtId="9" fontId="20" fillId="0" borderId="0" xfId="0" applyNumberFormat="1" applyFont="1" applyAlignment="1">
      <alignment vertical="center"/>
    </xf>
    <xf numFmtId="177" fontId="20" fillId="0" borderId="0" xfId="0" applyNumberFormat="1" applyFont="1" applyAlignment="1">
      <alignment vertical="center"/>
    </xf>
    <xf numFmtId="166" fontId="20" fillId="4" borderId="5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66" fontId="21" fillId="0" borderId="0" xfId="0" applyNumberFormat="1" applyFont="1" applyAlignment="1">
      <alignment vertical="center"/>
    </xf>
    <xf numFmtId="166" fontId="20" fillId="4" borderId="13" xfId="0" applyNumberFormat="1" applyFont="1" applyFill="1" applyBorder="1" applyAlignment="1">
      <alignment vertical="center"/>
    </xf>
    <xf numFmtId="166" fontId="2" fillId="0" borderId="0" xfId="0" applyNumberFormat="1" applyFont="1" applyAlignment="1">
      <alignment vertical="center"/>
    </xf>
    <xf numFmtId="173" fontId="20" fillId="4" borderId="13" xfId="0" applyNumberFormat="1" applyFont="1" applyFill="1" applyBorder="1" applyAlignment="1">
      <alignment vertical="center"/>
    </xf>
    <xf numFmtId="0" fontId="1" fillId="0" borderId="16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/>
    <xf numFmtId="164" fontId="3" fillId="0" borderId="11" xfId="0" applyNumberFormat="1" applyFont="1" applyBorder="1"/>
    <xf numFmtId="0" fontId="2" fillId="0" borderId="11" xfId="0" applyFont="1" applyBorder="1" applyAlignment="1">
      <alignment horizontal="left"/>
    </xf>
    <xf numFmtId="165" fontId="3" fillId="0" borderId="11" xfId="0" applyNumberFormat="1" applyFont="1" applyBorder="1" applyAlignment="1">
      <alignment horizontal="right"/>
    </xf>
    <xf numFmtId="0" fontId="2" fillId="0" borderId="11" xfId="0" applyFont="1" applyBorder="1"/>
    <xf numFmtId="165" fontId="3" fillId="0" borderId="11" xfId="0" applyNumberFormat="1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9" fontId="3" fillId="0" borderId="11" xfId="0" applyNumberFormat="1" applyFont="1" applyBorder="1"/>
    <xf numFmtId="0" fontId="2" fillId="0" borderId="13" xfId="0" applyFont="1" applyBorder="1" applyAlignment="1">
      <alignment horizontal="left"/>
    </xf>
    <xf numFmtId="0" fontId="2" fillId="0" borderId="5" xfId="0" applyFont="1" applyBorder="1"/>
    <xf numFmtId="10" fontId="3" fillId="0" borderId="5" xfId="0" applyNumberFormat="1" applyFont="1" applyBorder="1"/>
    <xf numFmtId="0" fontId="1" fillId="0" borderId="3" xfId="0" applyFont="1" applyBorder="1" applyAlignment="1">
      <alignment horizontal="left"/>
    </xf>
    <xf numFmtId="165" fontId="1" fillId="0" borderId="3" xfId="0" applyNumberFormat="1" applyFont="1" applyBorder="1" applyAlignment="1">
      <alignment horizontal="right"/>
    </xf>
    <xf numFmtId="0" fontId="2" fillId="0" borderId="13" xfId="0" applyFont="1" applyBorder="1"/>
    <xf numFmtId="9" fontId="3" fillId="0" borderId="13" xfId="0" applyNumberFormat="1" applyFont="1" applyBorder="1"/>
    <xf numFmtId="166" fontId="3" fillId="0" borderId="5" xfId="0" applyNumberFormat="1" applyFont="1" applyBorder="1"/>
    <xf numFmtId="3" fontId="3" fillId="0" borderId="5" xfId="0" applyNumberFormat="1" applyFont="1" applyBorder="1"/>
    <xf numFmtId="168" fontId="3" fillId="0" borderId="5" xfId="0" applyNumberFormat="1" applyFont="1" applyBorder="1"/>
    <xf numFmtId="0" fontId="2" fillId="0" borderId="13" xfId="0" applyFont="1" applyBorder="1" applyAlignment="1">
      <alignment horizontal="center"/>
    </xf>
    <xf numFmtId="169" fontId="8" fillId="0" borderId="13" xfId="0" applyNumberFormat="1" applyFont="1" applyBorder="1"/>
    <xf numFmtId="170" fontId="3" fillId="0" borderId="5" xfId="0" applyNumberFormat="1" applyFont="1" applyBorder="1"/>
    <xf numFmtId="4" fontId="3" fillId="0" borderId="13" xfId="0" applyNumberFormat="1" applyFont="1" applyBorder="1"/>
    <xf numFmtId="0" fontId="2" fillId="0" borderId="16" xfId="0" applyFont="1" applyBorder="1" applyAlignment="1">
      <alignment horizontal="center"/>
    </xf>
    <xf numFmtId="0" fontId="1" fillId="0" borderId="17" xfId="0" applyFont="1" applyBorder="1"/>
    <xf numFmtId="166" fontId="1" fillId="0" borderId="17" xfId="0" applyNumberFormat="1" applyFont="1" applyBorder="1"/>
    <xf numFmtId="0" fontId="1" fillId="0" borderId="3" xfId="0" applyFont="1" applyBorder="1"/>
    <xf numFmtId="166" fontId="1" fillId="0" borderId="3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165" fontId="2" fillId="0" borderId="13" xfId="0" applyNumberFormat="1" applyFont="1" applyBorder="1" applyAlignment="1">
      <alignment horizontal="right"/>
    </xf>
    <xf numFmtId="166" fontId="10" fillId="0" borderId="16" xfId="0" applyNumberFormat="1" applyFont="1" applyBorder="1"/>
    <xf numFmtId="166" fontId="9" fillId="0" borderId="16" xfId="0" applyNumberFormat="1" applyFont="1" applyBorder="1"/>
    <xf numFmtId="166" fontId="1" fillId="0" borderId="16" xfId="0" applyNumberFormat="1" applyFont="1" applyBorder="1"/>
    <xf numFmtId="0" fontId="1" fillId="0" borderId="11" xfId="0" applyFont="1" applyBorder="1"/>
    <xf numFmtId="172" fontId="3" fillId="0" borderId="11" xfId="0" applyNumberFormat="1" applyFont="1" applyBorder="1" applyAlignment="1">
      <alignment horizontal="right"/>
    </xf>
    <xf numFmtId="166" fontId="10" fillId="0" borderId="11" xfId="0" applyNumberFormat="1" applyFont="1" applyBorder="1"/>
    <xf numFmtId="0" fontId="1" fillId="0" borderId="13" xfId="0" applyFont="1" applyBorder="1"/>
    <xf numFmtId="172" fontId="3" fillId="0" borderId="13" xfId="0" applyNumberFormat="1" applyFont="1" applyBorder="1" applyAlignment="1">
      <alignment horizontal="right"/>
    </xf>
    <xf numFmtId="166" fontId="10" fillId="0" borderId="13" xfId="0" applyNumberFormat="1" applyFont="1" applyBorder="1"/>
    <xf numFmtId="0" fontId="13" fillId="0" borderId="16" xfId="0" applyFont="1" applyBorder="1"/>
    <xf numFmtId="0" fontId="32" fillId="8" borderId="16" xfId="0" applyFont="1" applyFill="1" applyBorder="1" applyAlignment="1">
      <alignment horizontal="center"/>
    </xf>
    <xf numFmtId="0" fontId="32" fillId="8" borderId="16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left"/>
    </xf>
    <xf numFmtId="0" fontId="1" fillId="0" borderId="16" xfId="0" applyFont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8" fillId="4" borderId="18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9" fontId="20" fillId="4" borderId="14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173" fontId="8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center" vertical="center"/>
    </xf>
    <xf numFmtId="173" fontId="20" fillId="4" borderId="11" xfId="0" applyNumberFormat="1" applyFont="1" applyFill="1" applyBorder="1" applyAlignment="1">
      <alignment horizontal="center" vertical="center"/>
    </xf>
    <xf numFmtId="175" fontId="20" fillId="4" borderId="11" xfId="0" applyNumberFormat="1" applyFont="1" applyFill="1" applyBorder="1" applyAlignment="1">
      <alignment vertical="center"/>
    </xf>
    <xf numFmtId="175" fontId="2" fillId="0" borderId="1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76" fontId="1" fillId="0" borderId="17" xfId="0" applyNumberFormat="1" applyFont="1" applyBorder="1" applyAlignment="1">
      <alignment horizontal="center" vertical="center"/>
    </xf>
    <xf numFmtId="173" fontId="1" fillId="0" borderId="17" xfId="0" applyNumberFormat="1" applyFont="1" applyBorder="1" applyAlignment="1">
      <alignment horizontal="center" vertical="center"/>
    </xf>
    <xf numFmtId="175" fontId="1" fillId="0" borderId="17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66" fontId="2" fillId="0" borderId="16" xfId="0" applyNumberFormat="1" applyFont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/>
    <xf numFmtId="0" fontId="24" fillId="4" borderId="18" xfId="0" applyFont="1" applyFill="1" applyBorder="1"/>
    <xf numFmtId="0" fontId="2" fillId="4" borderId="18" xfId="0" applyFont="1" applyFill="1" applyBorder="1"/>
    <xf numFmtId="178" fontId="5" fillId="2" borderId="18" xfId="0" applyNumberFormat="1" applyFont="1" applyFill="1" applyBorder="1" applyAlignment="1">
      <alignment horizontal="center"/>
    </xf>
    <xf numFmtId="0" fontId="5" fillId="2" borderId="18" xfId="0" applyFont="1" applyFill="1" applyBorder="1"/>
    <xf numFmtId="178" fontId="3" fillId="0" borderId="14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0" fontId="2" fillId="0" borderId="3" xfId="0" applyFont="1" applyBorder="1"/>
    <xf numFmtId="165" fontId="4" fillId="0" borderId="14" xfId="0" applyNumberFormat="1" applyFont="1" applyBorder="1" applyAlignment="1">
      <alignment horizontal="right"/>
    </xf>
    <xf numFmtId="10" fontId="1" fillId="0" borderId="14" xfId="0" applyNumberFormat="1" applyFont="1" applyBorder="1" applyAlignment="1">
      <alignment horizontal="right"/>
    </xf>
    <xf numFmtId="165" fontId="2" fillId="0" borderId="16" xfId="0" applyNumberFormat="1" applyFont="1" applyBorder="1"/>
    <xf numFmtId="168" fontId="3" fillId="0" borderId="16" xfId="0" applyNumberFormat="1" applyFont="1" applyBorder="1"/>
    <xf numFmtId="168" fontId="3" fillId="0" borderId="16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173" fontId="8" fillId="0" borderId="11" xfId="0" applyNumberFormat="1" applyFont="1" applyBorder="1" applyAlignment="1">
      <alignment vertical="center" wrapText="1"/>
    </xf>
    <xf numFmtId="0" fontId="5" fillId="7" borderId="18" xfId="0" applyFont="1" applyFill="1" applyBorder="1" applyAlignment="1">
      <alignment horizontal="center" vertical="center" wrapText="1"/>
    </xf>
    <xf numFmtId="173" fontId="3" fillId="0" borderId="11" xfId="0" applyNumberFormat="1" applyFont="1" applyBorder="1"/>
    <xf numFmtId="166" fontId="3" fillId="0" borderId="11" xfId="0" applyNumberFormat="1" applyFont="1" applyBorder="1"/>
    <xf numFmtId="166" fontId="2" fillId="0" borderId="11" xfId="0" applyNumberFormat="1" applyFont="1" applyBorder="1"/>
    <xf numFmtId="0" fontId="1" fillId="0" borderId="17" xfId="0" applyFont="1" applyBorder="1" applyAlignment="1">
      <alignment vertical="center" wrapText="1"/>
    </xf>
    <xf numFmtId="164" fontId="1" fillId="0" borderId="17" xfId="0" applyNumberFormat="1" applyFont="1" applyBorder="1"/>
    <xf numFmtId="10" fontId="13" fillId="0" borderId="17" xfId="0" applyNumberFormat="1" applyFont="1" applyBorder="1"/>
    <xf numFmtId="164" fontId="8" fillId="0" borderId="11" xfId="0" applyNumberFormat="1" applyFont="1" applyBorder="1"/>
    <xf numFmtId="164" fontId="2" fillId="0" borderId="11" xfId="0" applyNumberFormat="1" applyFont="1" applyBorder="1"/>
    <xf numFmtId="165" fontId="2" fillId="0" borderId="5" xfId="0" applyNumberFormat="1" applyFont="1" applyBorder="1"/>
    <xf numFmtId="0" fontId="8" fillId="0" borderId="5" xfId="0" applyFont="1" applyBorder="1"/>
    <xf numFmtId="9" fontId="3" fillId="0" borderId="5" xfId="0" applyNumberFormat="1" applyFont="1" applyBorder="1" applyAlignment="1">
      <alignment horizontal="right"/>
    </xf>
    <xf numFmtId="166" fontId="2" fillId="0" borderId="5" xfId="0" applyNumberFormat="1" applyFont="1" applyBorder="1"/>
    <xf numFmtId="0" fontId="2" fillId="0" borderId="17" xfId="0" applyFont="1" applyBorder="1"/>
    <xf numFmtId="0" fontId="13" fillId="0" borderId="17" xfId="0" applyFont="1" applyBorder="1"/>
    <xf numFmtId="165" fontId="3" fillId="0" borderId="13" xfId="0" applyNumberFormat="1" applyFont="1" applyBorder="1"/>
    <xf numFmtId="165" fontId="1" fillId="0" borderId="17" xfId="0" applyNumberFormat="1" applyFont="1" applyBorder="1"/>
    <xf numFmtId="0" fontId="2" fillId="0" borderId="3" xfId="0" applyFont="1" applyBorder="1" applyAlignment="1">
      <alignment horizontal="center"/>
    </xf>
    <xf numFmtId="165" fontId="1" fillId="0" borderId="3" xfId="0" applyNumberFormat="1" applyFont="1" applyBorder="1"/>
    <xf numFmtId="165" fontId="3" fillId="0" borderId="5" xfId="0" applyNumberFormat="1" applyFont="1" applyBorder="1"/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/>
    <xf numFmtId="164" fontId="2" fillId="0" borderId="5" xfId="0" applyNumberFormat="1" applyFont="1" applyBorder="1"/>
    <xf numFmtId="10" fontId="2" fillId="0" borderId="5" xfId="0" applyNumberFormat="1" applyFont="1" applyBorder="1"/>
    <xf numFmtId="10" fontId="2" fillId="0" borderId="13" xfId="0" applyNumberFormat="1" applyFont="1" applyBorder="1"/>
    <xf numFmtId="169" fontId="2" fillId="0" borderId="13" xfId="0" applyNumberFormat="1" applyFont="1" applyBorder="1"/>
    <xf numFmtId="165" fontId="2" fillId="0" borderId="11" xfId="0" applyNumberFormat="1" applyFont="1" applyBorder="1"/>
    <xf numFmtId="173" fontId="2" fillId="0" borderId="13" xfId="0" applyNumberFormat="1" applyFont="1" applyBorder="1"/>
    <xf numFmtId="0" fontId="7" fillId="0" borderId="17" xfId="0" applyFont="1" applyBorder="1"/>
    <xf numFmtId="166" fontId="3" fillId="0" borderId="13" xfId="0" applyNumberFormat="1" applyFont="1" applyBorder="1"/>
    <xf numFmtId="4" fontId="1" fillId="0" borderId="13" xfId="0" applyNumberFormat="1" applyFont="1" applyBorder="1"/>
    <xf numFmtId="0" fontId="1" fillId="0" borderId="11" xfId="0" applyFont="1" applyBorder="1" applyAlignment="1">
      <alignment horizontal="center"/>
    </xf>
    <xf numFmtId="0" fontId="20" fillId="9" borderId="11" xfId="0" applyFont="1" applyFill="1" applyBorder="1" applyAlignment="1">
      <alignment vertical="center"/>
    </xf>
    <xf numFmtId="0" fontId="20" fillId="9" borderId="5" xfId="0" applyFont="1" applyFill="1" applyBorder="1" applyAlignment="1">
      <alignment vertical="center"/>
    </xf>
    <xf numFmtId="0" fontId="20" fillId="9" borderId="12" xfId="0" applyFont="1" applyFill="1" applyBorder="1" applyAlignment="1">
      <alignment vertical="center"/>
    </xf>
    <xf numFmtId="166" fontId="2" fillId="0" borderId="5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18" xfId="0" applyFont="1" applyBorder="1" applyAlignment="1">
      <alignment vertical="center"/>
    </xf>
    <xf numFmtId="0" fontId="36" fillId="2" borderId="18" xfId="0" applyFont="1" applyFill="1" applyBorder="1" applyAlignment="1">
      <alignment vertical="center" wrapText="1"/>
    </xf>
    <xf numFmtId="0" fontId="37" fillId="0" borderId="18" xfId="0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0" fontId="41" fillId="0" borderId="18" xfId="0" applyFont="1" applyBorder="1" applyAlignment="1">
      <alignment vertical="center"/>
    </xf>
    <xf numFmtId="0" fontId="37" fillId="3" borderId="3" xfId="0" applyFont="1" applyFill="1" applyBorder="1" applyAlignment="1">
      <alignment vertical="center"/>
    </xf>
    <xf numFmtId="0" fontId="40" fillId="3" borderId="3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179" fontId="38" fillId="0" borderId="18" xfId="0" applyNumberFormat="1" applyFont="1" applyBorder="1" applyAlignment="1">
      <alignment vertical="center"/>
    </xf>
    <xf numFmtId="179" fontId="39" fillId="0" borderId="18" xfId="0" applyNumberFormat="1" applyFont="1" applyBorder="1" applyAlignment="1">
      <alignment vertical="center"/>
    </xf>
    <xf numFmtId="179" fontId="40" fillId="0" borderId="18" xfId="0" applyNumberFormat="1" applyFont="1" applyBorder="1" applyAlignment="1">
      <alignment vertical="center"/>
    </xf>
    <xf numFmtId="179" fontId="40" fillId="3" borderId="3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left"/>
    </xf>
    <xf numFmtId="0" fontId="5" fillId="2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4" fillId="0" borderId="18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5" fillId="2" borderId="18" xfId="0" applyFont="1" applyFill="1" applyBorder="1" applyAlignment="1">
      <alignment horizontal="center"/>
    </xf>
    <xf numFmtId="0" fontId="33" fillId="10" borderId="0" xfId="0" applyFont="1" applyFill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5" fillId="7" borderId="18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AD47"/>
  </sheetPr>
  <dimension ref="A21:A1000"/>
  <sheetViews>
    <sheetView showGridLines="0" workbookViewId="0"/>
  </sheetViews>
  <sheetFormatPr defaultColWidth="14.42578125" defaultRowHeight="15" customHeight="1"/>
  <cols>
    <col min="1" max="26" width="14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AD47"/>
    <pageSetUpPr fitToPage="1"/>
  </sheetPr>
  <dimension ref="A1:X998"/>
  <sheetViews>
    <sheetView showGridLines="0" workbookViewId="0">
      <selection activeCell="B5" sqref="B5:D11"/>
    </sheetView>
  </sheetViews>
  <sheetFormatPr defaultColWidth="14.42578125" defaultRowHeight="15" customHeight="1"/>
  <cols>
    <col min="1" max="1" width="7" customWidth="1"/>
    <col min="2" max="2" width="29.42578125" customWidth="1"/>
    <col min="3" max="3" width="13.5703125" customWidth="1"/>
    <col min="4" max="4" width="12.140625" customWidth="1"/>
    <col min="5" max="5" width="12.7109375" customWidth="1"/>
    <col min="6" max="6" width="12.5703125" customWidth="1"/>
    <col min="7" max="7" width="12.140625" customWidth="1"/>
    <col min="8" max="8" width="6.140625" customWidth="1"/>
    <col min="9" max="9" width="16.7109375" customWidth="1"/>
    <col min="10" max="26" width="14" customWidth="1"/>
  </cols>
  <sheetData>
    <row r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>
      <c r="B4" s="4" t="s">
        <v>2</v>
      </c>
      <c r="C4" s="5">
        <f>'Inputs 1'!$C$34</f>
        <v>7.0000000000000007E-2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>
      <c r="A5" s="122" t="s">
        <v>3</v>
      </c>
      <c r="B5" s="267" t="s">
        <v>4</v>
      </c>
      <c r="C5" s="268"/>
      <c r="D5" s="268"/>
      <c r="E5" s="2"/>
      <c r="F5" s="123" t="s">
        <v>5</v>
      </c>
      <c r="G5" s="123" t="s">
        <v>6</v>
      </c>
      <c r="I5" s="267" t="s">
        <v>7</v>
      </c>
      <c r="J5" s="268"/>
      <c r="K5" s="268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>
      <c r="A6" s="124">
        <v>1</v>
      </c>
      <c r="B6" s="125" t="str">
        <f>'Inputs 1'!B7</f>
        <v xml:space="preserve">System design (Liters/day) </v>
      </c>
      <c r="C6" s="126"/>
      <c r="D6" s="127">
        <f>'Inputs 1'!C7</f>
        <v>1000</v>
      </c>
      <c r="E6" s="2"/>
      <c r="F6" s="128" t="s">
        <v>8</v>
      </c>
      <c r="G6" s="129">
        <f>'Inputs 1'!C26</f>
        <v>1623000</v>
      </c>
      <c r="I6" s="130" t="s">
        <v>9</v>
      </c>
      <c r="J6" s="130"/>
      <c r="K6" s="131">
        <f>'Inputs 2 - Financing Options'!$C$10</f>
        <v>1298400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>
      <c r="A7" s="132">
        <f t="shared" ref="A7:A11" si="0">A6+1</f>
        <v>2</v>
      </c>
      <c r="B7" s="125" t="str">
        <f>'Inputs 1'!B8</f>
        <v>Utilization</v>
      </c>
      <c r="C7" s="133"/>
      <c r="D7" s="134">
        <f>'Inputs 1'!C8</f>
        <v>0.8</v>
      </c>
      <c r="E7" s="2"/>
      <c r="F7" s="135" t="s">
        <v>10</v>
      </c>
      <c r="G7" s="129">
        <f>'Inputs 1'!C27</f>
        <v>0</v>
      </c>
      <c r="I7" s="130" t="s">
        <v>11</v>
      </c>
      <c r="K7" s="131">
        <f>'Inputs 2 - Financing Options'!$K$7</f>
        <v>324600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>
      <c r="A8" s="132">
        <f t="shared" si="0"/>
        <v>3</v>
      </c>
      <c r="B8" s="269" t="s">
        <v>12</v>
      </c>
      <c r="C8" s="269"/>
      <c r="D8" s="137">
        <f>'Financial Overview'!D25</f>
        <v>-6.8604967901964979</v>
      </c>
      <c r="E8" s="6"/>
      <c r="F8" s="138" t="s">
        <v>13</v>
      </c>
      <c r="G8" s="139">
        <f>SUM(G6:G7)</f>
        <v>1623000</v>
      </c>
      <c r="I8" s="140" t="s">
        <v>14</v>
      </c>
      <c r="J8" s="140"/>
      <c r="K8" s="141">
        <f>'Inputs 2 - Financing Options'!$B$14</f>
        <v>0.12</v>
      </c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>
      <c r="A9" s="132">
        <f t="shared" si="0"/>
        <v>4</v>
      </c>
      <c r="B9" s="269" t="s">
        <v>15</v>
      </c>
      <c r="C9" s="269"/>
      <c r="D9" s="142">
        <f>'Financial Overview'!D26</f>
        <v>-46751573.248370521</v>
      </c>
      <c r="E9" s="7"/>
      <c r="I9" s="136" t="s">
        <v>16</v>
      </c>
      <c r="J9" s="136"/>
      <c r="K9" s="143">
        <f>'Inputs 2 - Financing Options'!$C$14</f>
        <v>60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>
      <c r="A10" s="132">
        <f t="shared" si="0"/>
        <v>5</v>
      </c>
      <c r="B10" s="269" t="s">
        <v>17</v>
      </c>
      <c r="C10" s="269"/>
      <c r="D10" s="137" t="e">
        <f>'Financial Overview'!D27</f>
        <v>#NUM!</v>
      </c>
      <c r="E10" s="6"/>
      <c r="I10" s="136" t="s">
        <v>18</v>
      </c>
      <c r="J10" s="133"/>
      <c r="K10" s="144">
        <f>'Inputs 2 - Financing Options'!$E$14</f>
        <v>28882.190874076463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>
      <c r="A11" s="145">
        <f t="shared" si="0"/>
        <v>6</v>
      </c>
      <c r="B11" s="266" t="s">
        <v>19</v>
      </c>
      <c r="C11" s="266"/>
      <c r="D11" s="146">
        <f>'Financial Overview'!$D$29</f>
        <v>0</v>
      </c>
      <c r="E11" s="8"/>
      <c r="G11" s="9">
        <v>12</v>
      </c>
      <c r="I11" s="136" t="s">
        <v>20</v>
      </c>
      <c r="J11" s="133"/>
      <c r="K11" s="147">
        <f>'Inputs 2 - Financing Options'!F14</f>
        <v>1732931.4524445878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>
      <c r="I12" s="140" t="s">
        <v>21</v>
      </c>
      <c r="J12" s="140"/>
      <c r="K12" s="148">
        <f>SUM('Inputs 2 - Financing Options'!$I$18:$I$78)</f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>
      <c r="A13" s="122" t="s">
        <v>3</v>
      </c>
      <c r="B13" s="122" t="s">
        <v>22</v>
      </c>
      <c r="C13" s="122" t="s">
        <v>23</v>
      </c>
      <c r="D13" s="122" t="s">
        <v>24</v>
      </c>
      <c r="E13" s="122" t="s">
        <v>25</v>
      </c>
      <c r="F13" s="122" t="s">
        <v>26</v>
      </c>
      <c r="G13" s="122" t="s">
        <v>27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>
      <c r="A14" s="10">
        <v>1</v>
      </c>
      <c r="B14" s="1" t="s">
        <v>28</v>
      </c>
      <c r="C14" s="11"/>
      <c r="D14" s="11"/>
      <c r="E14" s="11"/>
      <c r="F14" s="11"/>
      <c r="G14" s="1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>
      <c r="A15" s="10" t="s">
        <v>29</v>
      </c>
      <c r="B15" s="2" t="str">
        <f>Working!B20</f>
        <v>Quantity (Liters)</v>
      </c>
      <c r="C15" s="12">
        <f>Working!D20</f>
        <v>0</v>
      </c>
      <c r="D15" s="12">
        <f>Working!F20</f>
        <v>0</v>
      </c>
      <c r="E15" s="12">
        <f>Working!H20</f>
        <v>0</v>
      </c>
      <c r="F15" s="12">
        <f>Working!J20</f>
        <v>0</v>
      </c>
      <c r="G15" s="12">
        <f>Working!L20</f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>
      <c r="A16" s="149" t="s">
        <v>30</v>
      </c>
      <c r="B16" s="13" t="str">
        <f>Working!B22</f>
        <v>Selling Price (₹/L)</v>
      </c>
      <c r="C16" s="14">
        <f>Working!$E$13</f>
        <v>50</v>
      </c>
      <c r="D16" s="14">
        <f>Working!$E$13</f>
        <v>50</v>
      </c>
      <c r="E16" s="14">
        <f>Working!$E$13</f>
        <v>50</v>
      </c>
      <c r="F16" s="14">
        <f>Working!$E$13</f>
        <v>50</v>
      </c>
      <c r="G16" s="14">
        <f>Working!$E$13</f>
        <v>50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>
      <c r="A17" s="10"/>
      <c r="B17" s="150" t="s">
        <v>31</v>
      </c>
      <c r="C17" s="151">
        <f t="shared" ref="C17:G17" si="1">C15*C16</f>
        <v>0</v>
      </c>
      <c r="D17" s="151">
        <f t="shared" si="1"/>
        <v>0</v>
      </c>
      <c r="E17" s="151">
        <f t="shared" si="1"/>
        <v>0</v>
      </c>
      <c r="F17" s="151">
        <f t="shared" si="1"/>
        <v>0</v>
      </c>
      <c r="G17" s="151">
        <f t="shared" si="1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10">
        <f>A14+1</f>
        <v>2</v>
      </c>
      <c r="B18" s="1" t="s">
        <v>32</v>
      </c>
      <c r="C18" s="14"/>
      <c r="D18" s="15"/>
      <c r="E18" s="15"/>
      <c r="F18" s="15"/>
      <c r="G18" s="1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10"/>
      <c r="B19" s="2" t="str">
        <f>Working!B39</f>
        <v>Human Resource</v>
      </c>
      <c r="C19" s="16">
        <f>Working!D39</f>
        <v>300000</v>
      </c>
      <c r="D19" s="16">
        <f>Working!F39</f>
        <v>300000</v>
      </c>
      <c r="E19" s="16">
        <f>Working!H39</f>
        <v>300000</v>
      </c>
      <c r="F19" s="16">
        <f>Working!J39</f>
        <v>300000</v>
      </c>
      <c r="G19" s="16">
        <f>Working!L39</f>
        <v>300000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10"/>
      <c r="B20" s="2" t="str">
        <f>Working!B40</f>
        <v>Rent and Maintenance</v>
      </c>
      <c r="C20" s="16">
        <f>Working!D40</f>
        <v>120000</v>
      </c>
      <c r="D20" s="16">
        <f>Working!F40</f>
        <v>120000</v>
      </c>
      <c r="E20" s="16">
        <f>Working!H40</f>
        <v>120000</v>
      </c>
      <c r="F20" s="16">
        <f>Working!J40</f>
        <v>120000</v>
      </c>
      <c r="G20" s="16">
        <f>Working!L40</f>
        <v>120000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10"/>
      <c r="B21" s="2" t="str">
        <f>Working!B41</f>
        <v>Raw Material (Cow Milk)</v>
      </c>
      <c r="C21" s="16">
        <f>Working!D41</f>
        <v>10368000</v>
      </c>
      <c r="D21" s="16">
        <f>Working!F41</f>
        <v>10368000</v>
      </c>
      <c r="E21" s="16">
        <f>Working!H41</f>
        <v>10368000</v>
      </c>
      <c r="F21" s="16">
        <f>Working!J41</f>
        <v>10368000</v>
      </c>
      <c r="G21" s="16">
        <f>Working!L41</f>
        <v>10368000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10"/>
      <c r="B22" s="2" t="str">
        <f>Working!B42</f>
        <v>Electricity</v>
      </c>
      <c r="C22" s="16">
        <f>Working!D42</f>
        <v>0</v>
      </c>
      <c r="D22" s="16">
        <f>Working!F42</f>
        <v>0</v>
      </c>
      <c r="E22" s="16">
        <f>Working!H42</f>
        <v>0</v>
      </c>
      <c r="F22" s="16">
        <f>Working!J42</f>
        <v>0</v>
      </c>
      <c r="G22" s="16">
        <f>Working!L42</f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10"/>
      <c r="B23" s="2" t="str">
        <f>Working!B43</f>
        <v>Transport</v>
      </c>
      <c r="C23" s="16">
        <f>Working!D43</f>
        <v>0</v>
      </c>
      <c r="D23" s="16">
        <f>Working!F43</f>
        <v>0</v>
      </c>
      <c r="E23" s="16">
        <f>Working!H43</f>
        <v>0</v>
      </c>
      <c r="F23" s="16">
        <f>Working!J43</f>
        <v>0</v>
      </c>
      <c r="G23" s="16">
        <f>Working!L43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10"/>
      <c r="B24" s="2" t="str">
        <f>Working!B44</f>
        <v>Packaging</v>
      </c>
      <c r="C24" s="16">
        <f>Working!D44</f>
        <v>0</v>
      </c>
      <c r="D24" s="16">
        <f>Working!F44</f>
        <v>0</v>
      </c>
      <c r="E24" s="16">
        <f>Working!H44</f>
        <v>0</v>
      </c>
      <c r="F24" s="16">
        <f>Working!J44</f>
        <v>0</v>
      </c>
      <c r="G24" s="16">
        <f>Working!L44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149"/>
      <c r="B25" s="2" t="str">
        <f>Working!B45</f>
        <v>Other Expenses</v>
      </c>
      <c r="C25" s="16">
        <f>Working!D45</f>
        <v>0</v>
      </c>
      <c r="D25" s="16">
        <f>Working!F45</f>
        <v>0</v>
      </c>
      <c r="E25" s="16">
        <f>Working!H45</f>
        <v>0</v>
      </c>
      <c r="F25" s="16">
        <f>Working!J45</f>
        <v>0</v>
      </c>
      <c r="G25" s="16">
        <f>Working!L45</f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149"/>
      <c r="B26" s="152" t="s">
        <v>33</v>
      </c>
      <c r="C26" s="153">
        <f t="shared" ref="C26:G26" si="2">SUM(C19:C25)</f>
        <v>10788000</v>
      </c>
      <c r="D26" s="153">
        <f t="shared" si="2"/>
        <v>10788000</v>
      </c>
      <c r="E26" s="153">
        <f t="shared" si="2"/>
        <v>10788000</v>
      </c>
      <c r="F26" s="153">
        <f t="shared" si="2"/>
        <v>10788000</v>
      </c>
      <c r="G26" s="153">
        <f t="shared" si="2"/>
        <v>10788000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10">
        <f>A18+1</f>
        <v>3</v>
      </c>
      <c r="B27" s="1" t="s">
        <v>34</v>
      </c>
      <c r="C27" s="17">
        <f t="shared" ref="C27:G27" si="3">C17-C26</f>
        <v>-10788000</v>
      </c>
      <c r="D27" s="17">
        <f t="shared" si="3"/>
        <v>-10788000</v>
      </c>
      <c r="E27" s="17">
        <f t="shared" si="3"/>
        <v>-10788000</v>
      </c>
      <c r="F27" s="17">
        <f t="shared" si="3"/>
        <v>-10788000</v>
      </c>
      <c r="G27" s="17">
        <f t="shared" si="3"/>
        <v>-10788000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10">
        <f t="shared" ref="A28:A30" si="4">A27+1</f>
        <v>4</v>
      </c>
      <c r="B28" s="2" t="s">
        <v>35</v>
      </c>
      <c r="C28" s="14">
        <f>'Inputs 2 - Financing Options'!$E$14*$G$11</f>
        <v>346586.29048891756</v>
      </c>
      <c r="D28" s="14">
        <f>'Inputs 2 - Financing Options'!$E$14*$G$11</f>
        <v>346586.29048891756</v>
      </c>
      <c r="E28" s="14">
        <f>'Inputs 2 - Financing Options'!$E$14*$G$11</f>
        <v>346586.29048891756</v>
      </c>
      <c r="F28" s="14">
        <f>'Inputs 2 - Financing Options'!$E$14*$G$11</f>
        <v>346586.29048891756</v>
      </c>
      <c r="G28" s="14">
        <f>'Inputs 2 - Financing Options'!$E$14*$G$11</f>
        <v>346586.29048891756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18">
        <f t="shared" si="4"/>
        <v>5</v>
      </c>
      <c r="B29" s="19" t="s">
        <v>36</v>
      </c>
      <c r="C29" s="20">
        <f t="shared" ref="C29:G29" si="5">C27-C28</f>
        <v>-11134586.290488917</v>
      </c>
      <c r="D29" s="20">
        <f t="shared" si="5"/>
        <v>-11134586.290488917</v>
      </c>
      <c r="E29" s="20">
        <f t="shared" si="5"/>
        <v>-11134586.290488917</v>
      </c>
      <c r="F29" s="20">
        <f t="shared" si="5"/>
        <v>-11134586.290488917</v>
      </c>
      <c r="G29" s="20">
        <f t="shared" si="5"/>
        <v>-11134586.290488917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154">
        <f t="shared" si="4"/>
        <v>6</v>
      </c>
      <c r="B30" s="1" t="s">
        <v>37</v>
      </c>
      <c r="C30" s="21">
        <f t="shared" ref="C30:G30" si="6">C27/C28</f>
        <v>-31.126447571777099</v>
      </c>
      <c r="D30" s="21">
        <f t="shared" si="6"/>
        <v>-31.126447571777099</v>
      </c>
      <c r="E30" s="21">
        <f t="shared" si="6"/>
        <v>-31.126447571777099</v>
      </c>
      <c r="F30" s="21">
        <f t="shared" si="6"/>
        <v>-31.126447571777099</v>
      </c>
      <c r="G30" s="21">
        <f t="shared" si="6"/>
        <v>-31.126447571777099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/>
    <row r="232" spans="1:24" ht="15.75" customHeight="1"/>
    <row r="233" spans="1:24" ht="15.75" customHeight="1"/>
    <row r="234" spans="1:24" ht="15.75" customHeight="1"/>
    <row r="235" spans="1:24" ht="15.75" customHeight="1"/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">
    <mergeCell ref="B11:C11"/>
    <mergeCell ref="B5:D5"/>
    <mergeCell ref="I5:K5"/>
    <mergeCell ref="B8:C8"/>
    <mergeCell ref="B9:C9"/>
    <mergeCell ref="B10:C10"/>
  </mergeCells>
  <printOptions horizontalCentered="1" gridLines="1"/>
  <pageMargins left="0.25" right="0.25" top="0.5" bottom="0.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AD47"/>
    <pageSetUpPr fitToPage="1"/>
  </sheetPr>
  <dimension ref="A1:V1002"/>
  <sheetViews>
    <sheetView showGridLines="0" topLeftCell="A6" workbookViewId="0">
      <selection activeCell="C24" sqref="C24"/>
    </sheetView>
  </sheetViews>
  <sheetFormatPr defaultColWidth="14.42578125" defaultRowHeight="15" customHeight="1"/>
  <cols>
    <col min="1" max="1" width="7" customWidth="1"/>
    <col min="2" max="2" width="33.85546875" customWidth="1"/>
    <col min="3" max="4" width="16.7109375" customWidth="1"/>
    <col min="5" max="5" width="6.140625" customWidth="1"/>
    <col min="6" max="6" width="34.85546875" customWidth="1"/>
    <col min="7" max="26" width="14" customWidth="1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D3" s="22">
        <v>12</v>
      </c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122" t="s">
        <v>3</v>
      </c>
      <c r="B4" s="122" t="s">
        <v>22</v>
      </c>
      <c r="C4" s="122" t="s">
        <v>38</v>
      </c>
      <c r="D4" s="122" t="s">
        <v>39</v>
      </c>
      <c r="F4" s="23" t="s">
        <v>5</v>
      </c>
      <c r="G4" s="23" t="s">
        <v>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10">
        <v>1</v>
      </c>
      <c r="B5" s="1" t="s">
        <v>28</v>
      </c>
      <c r="C5" s="11"/>
      <c r="D5" s="11"/>
      <c r="F5" s="128" t="str">
        <f>'Inputs 1'!B26</f>
        <v>Machine + Solar Cost</v>
      </c>
      <c r="G5" s="129">
        <f>'Inputs 1'!C26</f>
        <v>1623000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10" t="s">
        <v>29</v>
      </c>
      <c r="B6" s="24" t="str">
        <f>Working!B20</f>
        <v>Quantity (Liters)</v>
      </c>
      <c r="C6" s="24">
        <f>Working!C20</f>
        <v>0</v>
      </c>
      <c r="D6" s="24">
        <f>C6*$D$3</f>
        <v>0</v>
      </c>
      <c r="F6" s="128" t="str">
        <f>'Inputs 1'!B27</f>
        <v>Other Costs (Installation cost including GST)</v>
      </c>
      <c r="G6" s="129">
        <f>'Inputs 1'!C27</f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>
      <c r="A7" s="149" t="s">
        <v>30</v>
      </c>
      <c r="B7" s="13" t="str">
        <f>Working!B22</f>
        <v>Selling Price (₹/L)</v>
      </c>
      <c r="C7" s="14" t="e">
        <f>'Inputs 1'!E14</f>
        <v>#VALUE!</v>
      </c>
      <c r="D7" s="25" t="e">
        <f>C7</f>
        <v>#VALUE!</v>
      </c>
      <c r="F7" s="26" t="s">
        <v>13</v>
      </c>
      <c r="G7" s="27">
        <f>SUM(G5:G6)</f>
        <v>1623000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>
      <c r="A8" s="10"/>
      <c r="B8" s="150" t="s">
        <v>31</v>
      </c>
      <c r="C8" s="151" t="e">
        <f t="shared" ref="C8:D8" si="0">C6*C7</f>
        <v>#VALUE!</v>
      </c>
      <c r="D8" s="151" t="e">
        <f t="shared" si="0"/>
        <v>#VALUE!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>
      <c r="A9" s="10">
        <f>A5+1</f>
        <v>2</v>
      </c>
      <c r="B9" s="1" t="s">
        <v>32</v>
      </c>
      <c r="C9" s="14"/>
      <c r="D9" s="14"/>
      <c r="F9" s="155"/>
      <c r="G9" s="15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>
      <c r="A10" s="10"/>
      <c r="B10" s="2" t="str">
        <f>'Inputs 1'!B17</f>
        <v>Human Resource</v>
      </c>
      <c r="C10" s="14">
        <f>Working!D26</f>
        <v>25000</v>
      </c>
      <c r="D10" s="25">
        <f t="shared" ref="D10:D16" si="1">C10*$D$3</f>
        <v>300000</v>
      </c>
      <c r="F10" s="267" t="s">
        <v>7</v>
      </c>
      <c r="G10" s="268"/>
      <c r="H10" s="26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10"/>
      <c r="B11" s="2" t="str">
        <f>'Inputs 1'!B18</f>
        <v>Rent and Maintenance</v>
      </c>
      <c r="C11" s="14">
        <f>Working!D27</f>
        <v>10000</v>
      </c>
      <c r="D11" s="25">
        <f t="shared" si="1"/>
        <v>120000</v>
      </c>
      <c r="F11" s="271" t="s">
        <v>9</v>
      </c>
      <c r="G11" s="271"/>
      <c r="H11" s="131">
        <f>'Inputs 2 - Financing Options'!$C$10</f>
        <v>1298400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>
      <c r="A12" s="10"/>
      <c r="B12" s="2" t="str">
        <f>'Inputs 1'!B19</f>
        <v>Raw Material (Cow Milk)</v>
      </c>
      <c r="C12" s="14">
        <f>Working!D28</f>
        <v>864000</v>
      </c>
      <c r="D12" s="25">
        <f t="shared" si="1"/>
        <v>10368000</v>
      </c>
      <c r="F12" s="269" t="s">
        <v>11</v>
      </c>
      <c r="G12" s="269"/>
      <c r="H12" s="131">
        <f>'Inputs 2 - Financing Options'!$K$7</f>
        <v>324600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>
      <c r="A13" s="10"/>
      <c r="B13" s="2" t="str">
        <f>'Inputs 1'!B20</f>
        <v>Electricity</v>
      </c>
      <c r="C13" s="14">
        <f>Working!D29</f>
        <v>0</v>
      </c>
      <c r="D13" s="25">
        <f t="shared" si="1"/>
        <v>0</v>
      </c>
      <c r="F13" s="269" t="s">
        <v>14</v>
      </c>
      <c r="G13" s="269"/>
      <c r="H13" s="141">
        <f>'Inputs 2 - Financing Options'!$B$14</f>
        <v>0.12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>
      <c r="A14" s="10"/>
      <c r="B14" s="2" t="str">
        <f>'Inputs 1'!B21</f>
        <v>Transport</v>
      </c>
      <c r="C14" s="14">
        <f>Working!D30</f>
        <v>0</v>
      </c>
      <c r="D14" s="25">
        <f t="shared" si="1"/>
        <v>0</v>
      </c>
      <c r="F14" s="269" t="s">
        <v>16</v>
      </c>
      <c r="G14" s="269"/>
      <c r="H14" s="143">
        <f>'Inputs 2 - Financing Options'!$C$14</f>
        <v>60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>
      <c r="A15" s="10"/>
      <c r="B15" s="2" t="str">
        <f>'Inputs 1'!B22</f>
        <v>Packaging</v>
      </c>
      <c r="C15" s="14">
        <f>Working!D31</f>
        <v>0</v>
      </c>
      <c r="D15" s="25">
        <f t="shared" si="1"/>
        <v>0</v>
      </c>
      <c r="F15" s="270" t="s">
        <v>18</v>
      </c>
      <c r="G15" s="270"/>
      <c r="H15" s="144">
        <f>'Inputs 2 - Financing Options'!$E$14</f>
        <v>28882.190874076463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>
      <c r="A16" s="149"/>
      <c r="B16" s="2" t="str">
        <f>'Inputs 1'!B23</f>
        <v>Other Expenses</v>
      </c>
      <c r="C16" s="157">
        <f>Working!D32</f>
        <v>0</v>
      </c>
      <c r="D16" s="158">
        <f t="shared" si="1"/>
        <v>0</v>
      </c>
      <c r="F16" s="269" t="s">
        <v>40</v>
      </c>
      <c r="G16" s="269"/>
      <c r="H16" s="147">
        <f>'Inputs 2 - Financing Options'!F14</f>
        <v>1732931.4524445878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>
      <c r="A17" s="149"/>
      <c r="B17" s="152" t="s">
        <v>33</v>
      </c>
      <c r="C17" s="159">
        <f t="shared" ref="C17:D17" si="2">SUM(C10:C16)</f>
        <v>899000</v>
      </c>
      <c r="D17" s="159">
        <f t="shared" si="2"/>
        <v>10788000</v>
      </c>
      <c r="F17" s="266" t="s">
        <v>21</v>
      </c>
      <c r="G17" s="266"/>
      <c r="H17" s="148">
        <f>SUM('Inputs 2 - Financing Options'!$I$18:$I$78)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>
      <c r="A18" s="10">
        <f>A9+1</f>
        <v>3</v>
      </c>
      <c r="B18" s="1" t="s">
        <v>34</v>
      </c>
      <c r="C18" s="17" t="e">
        <f t="shared" ref="C18:D18" si="3">C8-C17</f>
        <v>#VALUE!</v>
      </c>
      <c r="D18" s="17" t="e">
        <f t="shared" si="3"/>
        <v>#VALUE!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>
      <c r="A19" s="10">
        <f t="shared" ref="A19:A20" si="4">A18+1</f>
        <v>4</v>
      </c>
      <c r="B19" s="2" t="s">
        <v>35</v>
      </c>
      <c r="C19" s="14">
        <f>'Inputs 2 - Financing Options'!$E$14</f>
        <v>28882.190874076463</v>
      </c>
      <c r="D19" s="14">
        <f>'Inputs 2 - Financing Options'!$E$14*$D$3</f>
        <v>346586.29048891756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>
      <c r="A20" s="18">
        <f t="shared" si="4"/>
        <v>5</v>
      </c>
      <c r="B20" s="19" t="s">
        <v>36</v>
      </c>
      <c r="C20" s="20" t="e">
        <f t="shared" ref="C20:D20" si="5">C18-C19</f>
        <v>#VALUE!</v>
      </c>
      <c r="D20" s="20" t="e">
        <f t="shared" si="5"/>
        <v>#VALUE!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customHeight="1">
      <c r="A23" s="122" t="s">
        <v>3</v>
      </c>
      <c r="B23" s="122" t="s">
        <v>41</v>
      </c>
      <c r="C23" s="122" t="s">
        <v>42</v>
      </c>
      <c r="D23" s="122" t="s">
        <v>43</v>
      </c>
      <c r="G23" s="2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>
      <c r="A24" s="124">
        <v>1</v>
      </c>
      <c r="B24" s="160" t="s">
        <v>44</v>
      </c>
      <c r="C24" s="161">
        <f>'Breakeven Analysis'!C27</f>
        <v>30000</v>
      </c>
      <c r="D24" s="162" t="e">
        <f>'Breakeven Analysis'!D27</f>
        <v>#VALUE!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>
      <c r="A25" s="145">
        <f>A24+1</f>
        <v>2</v>
      </c>
      <c r="B25" s="163" t="s">
        <v>45</v>
      </c>
      <c r="C25" s="164" t="e">
        <f>'Breakeven Analysis'!C28</f>
        <v>#DIV/0!</v>
      </c>
      <c r="D25" s="165" t="e">
        <f>'Breakeven Analysis'!D28</f>
        <v>#DIV/0!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customHeigh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>
      <c r="A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>
      <c r="A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/>
    <row r="227" spans="1:22" ht="15.75" customHeight="1"/>
    <row r="228" spans="1:22" ht="15.75" customHeight="1"/>
    <row r="229" spans="1:22" ht="15.75" customHeight="1"/>
    <row r="230" spans="1:22" ht="15.75" customHeight="1"/>
    <row r="231" spans="1:22" ht="15.75" customHeight="1"/>
    <row r="232" spans="1:22" ht="15.75" customHeight="1"/>
    <row r="233" spans="1:22" ht="15.75" customHeight="1"/>
    <row r="234" spans="1:22" ht="15.75" customHeight="1"/>
    <row r="235" spans="1:22" ht="15.75" customHeight="1"/>
    <row r="236" spans="1:22" ht="15.75" customHeight="1"/>
    <row r="237" spans="1:22" ht="15.75" customHeight="1"/>
    <row r="238" spans="1:22" ht="15.75" customHeight="1"/>
    <row r="239" spans="1:22" ht="15.75" customHeight="1"/>
    <row r="240" spans="1:2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8">
    <mergeCell ref="F15:G15"/>
    <mergeCell ref="F16:G16"/>
    <mergeCell ref="F17:G17"/>
    <mergeCell ref="F10:H10"/>
    <mergeCell ref="F11:G11"/>
    <mergeCell ref="F12:G12"/>
    <mergeCell ref="F13:G13"/>
    <mergeCell ref="F14:G14"/>
  </mergeCells>
  <printOptions horizontalCentered="1" gridLines="1"/>
  <pageMargins left="0.25" right="0.25" top="0.5" bottom="0.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0C9-E0F7-4CFF-A7A2-88E7324F9695}">
  <sheetPr>
    <tabColor theme="9"/>
  </sheetPr>
  <dimension ref="A1:N17"/>
  <sheetViews>
    <sheetView workbookViewId="0">
      <selection activeCell="F7" sqref="F7"/>
    </sheetView>
  </sheetViews>
  <sheetFormatPr defaultRowHeight="15"/>
  <cols>
    <col min="2" max="2" width="25.140625" bestFit="1" customWidth="1"/>
    <col min="3" max="3" width="15.7109375" customWidth="1"/>
    <col min="4" max="4" width="17" bestFit="1" customWidth="1"/>
    <col min="13" max="13" width="13.5703125" bestFit="1" customWidth="1"/>
  </cols>
  <sheetData>
    <row r="1" spans="1:14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>
      <c r="A2" s="272" t="s">
        <v>46</v>
      </c>
      <c r="B2" s="272"/>
      <c r="C2" s="251">
        <v>12</v>
      </c>
      <c r="D2" s="252" t="s">
        <v>47</v>
      </c>
      <c r="E2" s="253"/>
      <c r="F2" s="251"/>
      <c r="G2" s="251"/>
      <c r="H2" s="251"/>
      <c r="I2" s="251"/>
      <c r="J2" s="251"/>
      <c r="K2" s="251"/>
      <c r="L2" s="251"/>
      <c r="M2" s="254" t="s">
        <v>48</v>
      </c>
      <c r="N2" s="251"/>
    </row>
    <row r="3" spans="1:14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2" t="s">
        <v>49</v>
      </c>
      <c r="N3" s="251">
        <v>365</v>
      </c>
    </row>
    <row r="4" spans="1:14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2" t="s">
        <v>50</v>
      </c>
      <c r="N4" s="251">
        <v>24</v>
      </c>
    </row>
    <row r="5" spans="1:14">
      <c r="A5" s="255" t="s">
        <v>3</v>
      </c>
      <c r="B5" s="255" t="s">
        <v>22</v>
      </c>
      <c r="C5" s="255" t="str" cm="1">
        <f t="array" ref="C5">_xlfn.IFS(C2=1,M8,C2=2,M7,C2=4,M6,C2=12,M5,C2=24,M4,C2=365,M3)</f>
        <v>Monthly</v>
      </c>
      <c r="D5" s="255" t="s">
        <v>39</v>
      </c>
      <c r="E5" s="251"/>
      <c r="F5" s="251"/>
      <c r="G5" s="251"/>
      <c r="H5" s="251"/>
      <c r="I5" s="251"/>
      <c r="J5" s="251"/>
      <c r="K5" s="251"/>
      <c r="L5" s="251"/>
      <c r="M5" s="251" t="s">
        <v>38</v>
      </c>
      <c r="N5" s="251">
        <v>12</v>
      </c>
    </row>
    <row r="6" spans="1:14">
      <c r="A6" s="256">
        <v>1</v>
      </c>
      <c r="B6" s="256" t="s">
        <v>51</v>
      </c>
      <c r="C6" s="262">
        <f>D6/C2</f>
        <v>864000</v>
      </c>
      <c r="D6" s="263">
        <f>'Simple Output'!D12</f>
        <v>10368000</v>
      </c>
      <c r="E6" s="251"/>
      <c r="F6" s="251"/>
      <c r="G6" s="251"/>
      <c r="H6" s="251"/>
      <c r="I6" s="251"/>
      <c r="J6" s="251"/>
      <c r="K6" s="251"/>
      <c r="L6" s="251"/>
      <c r="M6" s="251" t="s">
        <v>52</v>
      </c>
      <c r="N6" s="251">
        <v>4</v>
      </c>
    </row>
    <row r="7" spans="1:14">
      <c r="A7" s="256">
        <v>2</v>
      </c>
      <c r="B7" s="256" t="s">
        <v>53</v>
      </c>
      <c r="C7" s="262">
        <f>D7/MAX(12,C2)</f>
        <v>63882.19087407647</v>
      </c>
      <c r="D7" s="263">
        <f>'Simple Output'!D17-'Simple Output'!D12+'Simple Output'!D19</f>
        <v>766586.29048891761</v>
      </c>
      <c r="E7" s="251"/>
      <c r="F7" s="251"/>
      <c r="G7" s="251"/>
      <c r="H7" s="251"/>
      <c r="I7" s="251"/>
      <c r="J7" s="251"/>
      <c r="K7" s="251"/>
      <c r="L7" s="251"/>
      <c r="M7" s="251" t="s">
        <v>54</v>
      </c>
      <c r="N7" s="251">
        <v>2</v>
      </c>
    </row>
    <row r="8" spans="1:14">
      <c r="A8" s="256" t="s">
        <v>55</v>
      </c>
      <c r="B8" s="257" t="s">
        <v>33</v>
      </c>
      <c r="C8" s="264">
        <f>SUM(C6:C7)</f>
        <v>927882.19087407645</v>
      </c>
      <c r="D8" s="264">
        <f>SUM(D6:D7)</f>
        <v>11134586.290488917</v>
      </c>
      <c r="E8" s="251"/>
      <c r="F8" s="251"/>
      <c r="G8" s="251"/>
      <c r="H8" s="251"/>
      <c r="I8" s="251"/>
      <c r="J8" s="251"/>
      <c r="K8" s="251"/>
      <c r="L8" s="251"/>
      <c r="M8" s="251" t="s">
        <v>39</v>
      </c>
      <c r="N8" s="251">
        <v>1</v>
      </c>
    </row>
    <row r="9" spans="1:14">
      <c r="A9" s="259"/>
      <c r="B9" s="260" t="s">
        <v>56</v>
      </c>
      <c r="C9" s="265">
        <f>C8</f>
        <v>927882.19087407645</v>
      </c>
      <c r="D9" s="265">
        <f>D8</f>
        <v>11134586.290488917</v>
      </c>
      <c r="E9" s="251"/>
      <c r="F9" s="251"/>
      <c r="G9" s="251"/>
      <c r="H9" s="251"/>
      <c r="I9" s="251"/>
      <c r="J9" s="251"/>
      <c r="K9" s="251"/>
      <c r="L9" s="251"/>
      <c r="M9" s="251"/>
      <c r="N9" s="251"/>
    </row>
    <row r="10" spans="1:14">
      <c r="A10" s="251"/>
      <c r="B10" s="251"/>
      <c r="C10" s="258" t="s">
        <v>57</v>
      </c>
      <c r="D10" s="261"/>
      <c r="E10" s="251"/>
      <c r="F10" s="251"/>
      <c r="G10" s="251"/>
      <c r="H10" s="251"/>
      <c r="I10" s="251"/>
      <c r="J10" s="251"/>
      <c r="K10" s="251"/>
      <c r="L10" s="251"/>
      <c r="M10" s="251"/>
      <c r="N10" s="251"/>
    </row>
    <row r="11" spans="1:14">
      <c r="E11" s="258"/>
      <c r="F11" s="251"/>
      <c r="G11" s="251"/>
      <c r="H11" s="251"/>
      <c r="I11" s="251"/>
      <c r="J11" s="251"/>
      <c r="K11" s="251"/>
      <c r="L11" s="251"/>
      <c r="M11" s="251"/>
      <c r="N11" s="251"/>
    </row>
    <row r="12" spans="1:14">
      <c r="E12" s="258"/>
      <c r="F12" s="251"/>
      <c r="G12" s="251"/>
      <c r="H12" s="251"/>
      <c r="I12" s="251"/>
      <c r="J12" s="251"/>
      <c r="K12" s="251"/>
      <c r="L12" s="251"/>
      <c r="M12" s="251"/>
      <c r="N12" s="251"/>
    </row>
    <row r="13" spans="1:14">
      <c r="E13" s="251"/>
      <c r="F13" s="251"/>
      <c r="G13" s="251"/>
      <c r="H13" s="251"/>
      <c r="I13" s="251"/>
      <c r="J13" s="251"/>
      <c r="K13" s="251"/>
      <c r="L13" s="251"/>
      <c r="M13" s="251"/>
      <c r="N13" s="251"/>
    </row>
    <row r="14" spans="1:14">
      <c r="E14" s="251"/>
      <c r="F14" s="251"/>
      <c r="G14" s="251"/>
      <c r="H14" s="251"/>
      <c r="I14" s="251"/>
      <c r="J14" s="251"/>
      <c r="K14" s="251"/>
      <c r="L14" s="251"/>
      <c r="M14" s="251"/>
      <c r="N14" s="251"/>
    </row>
    <row r="15" spans="1:14"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4">
      <c r="E16" s="251"/>
      <c r="F16" s="251"/>
      <c r="G16" s="251"/>
      <c r="H16" s="251"/>
      <c r="I16" s="251"/>
      <c r="J16" s="251"/>
      <c r="K16" s="251"/>
      <c r="L16" s="251"/>
      <c r="M16" s="251"/>
      <c r="N16" s="251"/>
    </row>
    <row r="17" spans="5:14">
      <c r="E17" s="261"/>
      <c r="F17" s="261"/>
      <c r="G17" s="251"/>
      <c r="H17" s="251"/>
      <c r="I17" s="251"/>
      <c r="J17" s="251"/>
      <c r="K17" s="251"/>
      <c r="L17" s="251"/>
      <c r="M17" s="251"/>
      <c r="N17" s="251"/>
    </row>
  </sheetData>
  <mergeCells count="1">
    <mergeCell ref="A2:B2"/>
  </mergeCells>
  <dataValidations count="1">
    <dataValidation type="list" allowBlank="1" showInputMessage="1" showErrorMessage="1" sqref="C2" xr:uid="{65EE1E19-C64F-4199-B03E-A25F17BE1467}">
      <formula1>$N$3:$N$8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1000"/>
  <sheetViews>
    <sheetView showGridLines="0" workbookViewId="0">
      <selection activeCell="C9" sqref="C9"/>
    </sheetView>
  </sheetViews>
  <sheetFormatPr defaultColWidth="14.42578125" defaultRowHeight="15" customHeight="1"/>
  <cols>
    <col min="1" max="2" width="14" customWidth="1"/>
    <col min="3" max="3" width="85.85546875" customWidth="1"/>
    <col min="4" max="26" width="14" customWidth="1"/>
  </cols>
  <sheetData>
    <row r="1" spans="1:6">
      <c r="A1" s="166" t="s">
        <v>58</v>
      </c>
      <c r="B1" s="166"/>
      <c r="C1" s="166"/>
      <c r="D1" s="166"/>
      <c r="E1" s="166"/>
      <c r="F1" s="166"/>
    </row>
    <row r="3" spans="1:6">
      <c r="A3" s="167" t="s">
        <v>3</v>
      </c>
      <c r="B3" s="168" t="s">
        <v>59</v>
      </c>
      <c r="C3" s="169" t="s">
        <v>60</v>
      </c>
    </row>
    <row r="4" spans="1:6">
      <c r="A4" s="82">
        <v>1</v>
      </c>
      <c r="B4" s="87"/>
      <c r="C4" s="83" t="s">
        <v>61</v>
      </c>
    </row>
    <row r="5" spans="1:6">
      <c r="A5" s="84">
        <f>+A4+1</f>
        <v>2</v>
      </c>
      <c r="B5" s="88"/>
      <c r="C5" s="85" t="s">
        <v>62</v>
      </c>
    </row>
    <row r="6" spans="1:6">
      <c r="A6" s="84">
        <f t="shared" ref="A6:A11" si="0">+A5+1</f>
        <v>3</v>
      </c>
      <c r="B6" s="89"/>
      <c r="C6" s="85" t="s">
        <v>63</v>
      </c>
    </row>
    <row r="7" spans="1:6">
      <c r="A7" s="84">
        <f t="shared" si="0"/>
        <v>4</v>
      </c>
      <c r="B7" s="90" t="s">
        <v>64</v>
      </c>
      <c r="C7" s="85" t="s">
        <v>65</v>
      </c>
    </row>
    <row r="8" spans="1:6">
      <c r="A8" s="84">
        <f t="shared" si="0"/>
        <v>5</v>
      </c>
      <c r="B8" s="91" t="s">
        <v>66</v>
      </c>
      <c r="C8" s="85" t="s">
        <v>67</v>
      </c>
    </row>
    <row r="9" spans="1:6">
      <c r="A9" s="84">
        <f t="shared" si="0"/>
        <v>6</v>
      </c>
      <c r="B9" s="92" t="s">
        <v>68</v>
      </c>
      <c r="C9" s="85" t="s">
        <v>69</v>
      </c>
    </row>
    <row r="10" spans="1:6">
      <c r="A10" s="84">
        <f t="shared" si="0"/>
        <v>7</v>
      </c>
      <c r="B10" s="93" t="s">
        <v>70</v>
      </c>
      <c r="C10" s="85" t="s">
        <v>71</v>
      </c>
    </row>
    <row r="11" spans="1:6" ht="15" customHeight="1">
      <c r="A11" s="84">
        <f t="shared" si="0"/>
        <v>8</v>
      </c>
      <c r="B11" s="94" t="s">
        <v>72</v>
      </c>
      <c r="C11" s="85" t="s">
        <v>73</v>
      </c>
    </row>
    <row r="12" spans="1:6" ht="15" customHeight="1">
      <c r="A12" s="86"/>
      <c r="B12" s="86"/>
      <c r="C12" s="8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990"/>
  <sheetViews>
    <sheetView showGridLines="0" tabSelected="1" workbookViewId="0">
      <selection activeCell="C13" sqref="C13"/>
    </sheetView>
  </sheetViews>
  <sheetFormatPr defaultColWidth="14.42578125" defaultRowHeight="15" customHeight="1"/>
  <cols>
    <col min="1" max="1" width="8.140625" customWidth="1"/>
    <col min="2" max="2" width="51.5703125" customWidth="1"/>
    <col min="3" max="4" width="17.140625" customWidth="1"/>
    <col min="5" max="25" width="14" customWidth="1"/>
  </cols>
  <sheetData>
    <row r="1" spans="1: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170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9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98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>
      <c r="A4" s="171" t="s">
        <v>75</v>
      </c>
      <c r="B4" s="172" t="s">
        <v>76</v>
      </c>
      <c r="C4" s="173"/>
      <c r="D4" s="173"/>
      <c r="E4" s="99"/>
      <c r="F4" s="99"/>
      <c r="G4" s="99"/>
      <c r="H4" s="9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>
      <c r="A5" s="99"/>
      <c r="B5" s="99"/>
      <c r="C5" s="99"/>
      <c r="D5" s="99"/>
      <c r="E5" s="99"/>
      <c r="F5" s="99"/>
      <c r="G5" s="99"/>
      <c r="H5" s="99"/>
      <c r="I5" s="100" t="s">
        <v>77</v>
      </c>
      <c r="J5" s="95" t="s">
        <v>78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>
      <c r="A6" s="122" t="s">
        <v>3</v>
      </c>
      <c r="B6" s="122" t="s">
        <v>79</v>
      </c>
      <c r="C6" s="122" t="s">
        <v>80</v>
      </c>
      <c r="D6" s="122" t="s">
        <v>81</v>
      </c>
      <c r="E6" s="122" t="s">
        <v>82</v>
      </c>
      <c r="F6" s="122" t="s">
        <v>83</v>
      </c>
      <c r="G6" s="122" t="s">
        <v>84</v>
      </c>
      <c r="H6" s="97"/>
      <c r="I6" s="273" t="s">
        <v>85</v>
      </c>
      <c r="J6" s="27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174">
        <v>1</v>
      </c>
      <c r="B7" s="175" t="s">
        <v>86</v>
      </c>
      <c r="C7" s="101">
        <v>1000</v>
      </c>
      <c r="D7" s="101">
        <v>1000</v>
      </c>
      <c r="E7" s="101">
        <v>1000</v>
      </c>
      <c r="F7" s="101">
        <v>1000</v>
      </c>
      <c r="G7" s="101">
        <v>1000</v>
      </c>
      <c r="H7" s="102"/>
      <c r="I7" s="31" t="s">
        <v>87</v>
      </c>
      <c r="J7" s="176">
        <v>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177">
        <f t="shared" ref="A8:A10" si="0">A7+1</f>
        <v>2</v>
      </c>
      <c r="B8" s="178" t="s">
        <v>85</v>
      </c>
      <c r="C8" s="179">
        <f t="shared" ref="C8:G8" si="1">INDEX($J$7:$J$9,MATCH($J$5,$I$7:$I$9,0))</f>
        <v>0.8</v>
      </c>
      <c r="D8" s="179">
        <f t="shared" si="1"/>
        <v>0.8</v>
      </c>
      <c r="E8" s="179">
        <f t="shared" si="1"/>
        <v>0.8</v>
      </c>
      <c r="F8" s="179">
        <f t="shared" si="1"/>
        <v>0.8</v>
      </c>
      <c r="G8" s="179">
        <f t="shared" si="1"/>
        <v>0.8</v>
      </c>
      <c r="H8" s="102"/>
      <c r="I8" s="31" t="s">
        <v>78</v>
      </c>
      <c r="J8" s="176">
        <v>0.8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177">
        <f t="shared" si="0"/>
        <v>3</v>
      </c>
      <c r="B9" s="178" t="s">
        <v>88</v>
      </c>
      <c r="C9" s="103">
        <v>30</v>
      </c>
      <c r="D9" s="103">
        <v>30</v>
      </c>
      <c r="E9" s="103">
        <v>30</v>
      </c>
      <c r="F9" s="103">
        <v>30</v>
      </c>
      <c r="G9" s="103">
        <v>30</v>
      </c>
      <c r="H9" s="97"/>
      <c r="I9" s="31" t="s">
        <v>89</v>
      </c>
      <c r="J9" s="176">
        <v>0.6</v>
      </c>
      <c r="K9" s="97"/>
      <c r="L9" s="9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177">
        <f t="shared" si="0"/>
        <v>4</v>
      </c>
      <c r="B10" s="178" t="s">
        <v>90</v>
      </c>
      <c r="C10" s="103">
        <v>12</v>
      </c>
      <c r="D10" s="103">
        <v>12</v>
      </c>
      <c r="E10" s="103">
        <v>12</v>
      </c>
      <c r="F10" s="103">
        <v>12</v>
      </c>
      <c r="G10" s="103">
        <v>12</v>
      </c>
      <c r="H10" s="97"/>
      <c r="K10" s="97"/>
      <c r="L10" s="9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104"/>
      <c r="B11" s="32"/>
      <c r="C11" s="105"/>
      <c r="D11" s="106"/>
      <c r="E11" s="107"/>
      <c r="F11" s="107"/>
      <c r="G11" s="107"/>
      <c r="H11" s="97"/>
      <c r="K11" s="97"/>
      <c r="L11" s="9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0" customHeight="1">
      <c r="A12" s="33" t="s">
        <v>3</v>
      </c>
      <c r="B12" s="33" t="s">
        <v>91</v>
      </c>
      <c r="C12" s="33" t="s">
        <v>92</v>
      </c>
      <c r="D12" s="33" t="s">
        <v>93</v>
      </c>
      <c r="E12" s="33" t="s">
        <v>94</v>
      </c>
      <c r="F12" s="33" t="s">
        <v>95</v>
      </c>
      <c r="G12" s="33" t="s">
        <v>96</v>
      </c>
      <c r="H12" s="102"/>
      <c r="K12" s="97"/>
      <c r="L12" s="9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180">
        <v>1</v>
      </c>
      <c r="B13" s="181" t="s">
        <v>97</v>
      </c>
      <c r="C13" s="182"/>
      <c r="D13" s="183">
        <v>0.02</v>
      </c>
      <c r="E13" s="184">
        <v>50</v>
      </c>
      <c r="F13" s="185">
        <f>E13*C13</f>
        <v>0</v>
      </c>
      <c r="G13" s="183">
        <f>IF(C8=100%,0%,2%)</f>
        <v>0.02</v>
      </c>
      <c r="H13" s="102" t="s">
        <v>98</v>
      </c>
      <c r="I13" s="34"/>
      <c r="J13" s="35"/>
      <c r="K13" s="97"/>
      <c r="L13" s="9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186"/>
      <c r="B14" s="186"/>
      <c r="C14" s="187">
        <f t="shared" ref="C14:D14" si="2">SUM(C13)</f>
        <v>0</v>
      </c>
      <c r="D14" s="188">
        <f t="shared" si="2"/>
        <v>0.02</v>
      </c>
      <c r="E14" s="189" t="e">
        <f>(SUMPRODUCT(E13, C13) / SUM(C13))</f>
        <v>#VALUE!</v>
      </c>
      <c r="F14" s="189">
        <f t="shared" ref="F14:G14" si="3">SUM(F13)</f>
        <v>0</v>
      </c>
      <c r="G14" s="188">
        <f t="shared" si="3"/>
        <v>0.02</v>
      </c>
      <c r="H14" s="97"/>
      <c r="I14" s="97"/>
      <c r="J14" s="97"/>
      <c r="K14" s="97"/>
      <c r="L14" s="9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99"/>
      <c r="B15" s="99"/>
      <c r="C15" s="99"/>
      <c r="D15" s="108" t="str">
        <f>IF(D14&gt;100%,"Error","")</f>
        <v/>
      </c>
      <c r="E15" s="99"/>
      <c r="F15" s="99"/>
      <c r="G15" s="99"/>
      <c r="H15" s="99"/>
      <c r="I15" s="99"/>
      <c r="J15" s="99"/>
      <c r="K15" s="99"/>
      <c r="L15" s="9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27.75" customHeight="1">
      <c r="A16" s="33" t="s">
        <v>3</v>
      </c>
      <c r="B16" s="122" t="s">
        <v>22</v>
      </c>
      <c r="C16" s="122" t="s">
        <v>99</v>
      </c>
      <c r="D16" s="122" t="s">
        <v>100</v>
      </c>
      <c r="E16" s="122" t="s">
        <v>101</v>
      </c>
      <c r="F16" s="122" t="s">
        <v>102</v>
      </c>
      <c r="G16" s="109">
        <v>12</v>
      </c>
      <c r="H16" s="97"/>
      <c r="I16" s="97"/>
      <c r="J16" s="97"/>
      <c r="K16" s="97"/>
      <c r="L16" s="9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>
      <c r="A17" s="180">
        <v>1</v>
      </c>
      <c r="B17" s="190" t="s">
        <v>103</v>
      </c>
      <c r="C17" s="110">
        <v>25000</v>
      </c>
      <c r="D17" s="247" t="s">
        <v>104</v>
      </c>
      <c r="E17" s="111">
        <v>0</v>
      </c>
      <c r="F17" s="191">
        <f t="shared" ref="F17:F23" si="4">C17*$G$16</f>
        <v>300000</v>
      </c>
      <c r="G17" s="97"/>
      <c r="H17" s="112"/>
      <c r="I17" s="97"/>
      <c r="J17" s="97"/>
      <c r="K17" s="97"/>
      <c r="L17" s="9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>
      <c r="A18" s="192">
        <f t="shared" ref="A18:A23" si="5">A17+1</f>
        <v>2</v>
      </c>
      <c r="B18" s="193" t="s">
        <v>105</v>
      </c>
      <c r="C18" s="110">
        <v>10000</v>
      </c>
      <c r="D18" s="248" t="s">
        <v>104</v>
      </c>
      <c r="E18" s="111">
        <v>0</v>
      </c>
      <c r="F18" s="191">
        <f t="shared" si="4"/>
        <v>120000</v>
      </c>
      <c r="G18" s="97"/>
      <c r="H18" s="112"/>
      <c r="I18" s="97"/>
      <c r="J18" s="97"/>
      <c r="K18" s="97"/>
      <c r="L18" s="9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>
      <c r="A19" s="192">
        <f t="shared" si="5"/>
        <v>3</v>
      </c>
      <c r="B19" s="193" t="s">
        <v>106</v>
      </c>
      <c r="C19" s="110">
        <f>36*(C7*C8*C9)</f>
        <v>864000</v>
      </c>
      <c r="D19" s="248" t="s">
        <v>107</v>
      </c>
      <c r="E19" s="111">
        <v>0</v>
      </c>
      <c r="F19" s="191">
        <f t="shared" si="4"/>
        <v>10368000</v>
      </c>
      <c r="H19" s="113"/>
      <c r="I19" s="97"/>
      <c r="J19" s="97"/>
      <c r="K19" s="97"/>
      <c r="L19" s="9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>
      <c r="A20" s="194">
        <f t="shared" si="5"/>
        <v>4</v>
      </c>
      <c r="B20" s="193" t="s">
        <v>108</v>
      </c>
      <c r="C20" s="110">
        <v>0</v>
      </c>
      <c r="D20" s="248" t="s">
        <v>104</v>
      </c>
      <c r="E20" s="111">
        <v>0</v>
      </c>
      <c r="F20" s="191">
        <f t="shared" si="4"/>
        <v>0</v>
      </c>
      <c r="G20" s="97"/>
      <c r="H20" s="112"/>
      <c r="I20" s="97"/>
      <c r="J20" s="97"/>
      <c r="K20" s="97"/>
      <c r="L20" s="9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>
      <c r="A21" s="194">
        <f t="shared" si="5"/>
        <v>5</v>
      </c>
      <c r="B21" s="193" t="s">
        <v>109</v>
      </c>
      <c r="C21" s="110">
        <f>5*C13</f>
        <v>0</v>
      </c>
      <c r="D21" s="248" t="s">
        <v>107</v>
      </c>
      <c r="E21" s="111">
        <v>0</v>
      </c>
      <c r="F21" s="191">
        <f t="shared" si="4"/>
        <v>0</v>
      </c>
      <c r="G21" s="97"/>
      <c r="H21" s="112"/>
      <c r="I21" s="97"/>
      <c r="J21" s="97"/>
      <c r="K21" s="97"/>
      <c r="L21" s="9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>
      <c r="A22" s="194">
        <f t="shared" si="5"/>
        <v>6</v>
      </c>
      <c r="B22" s="193" t="s">
        <v>110</v>
      </c>
      <c r="C22" s="114">
        <f>1.8*C13</f>
        <v>0</v>
      </c>
      <c r="D22" s="248" t="s">
        <v>107</v>
      </c>
      <c r="E22" s="111">
        <v>0</v>
      </c>
      <c r="F22" s="191">
        <f t="shared" si="4"/>
        <v>0</v>
      </c>
      <c r="G22" s="97"/>
      <c r="H22" s="112"/>
      <c r="I22" s="97"/>
      <c r="J22" s="97"/>
      <c r="K22" s="97"/>
      <c r="L22" s="9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115">
        <f t="shared" si="5"/>
        <v>7</v>
      </c>
      <c r="B23" s="116" t="s">
        <v>111</v>
      </c>
      <c r="C23" s="114">
        <v>0</v>
      </c>
      <c r="D23" s="249" t="s">
        <v>107</v>
      </c>
      <c r="E23" s="111">
        <v>0</v>
      </c>
      <c r="F23" s="195">
        <f t="shared" si="4"/>
        <v>0</v>
      </c>
      <c r="G23" s="102"/>
      <c r="H23" s="112"/>
      <c r="I23" s="97"/>
      <c r="J23" s="97"/>
      <c r="K23" s="97"/>
      <c r="L23" s="9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>
      <c r="A25" s="122" t="s">
        <v>3</v>
      </c>
      <c r="B25" s="122" t="s">
        <v>5</v>
      </c>
      <c r="C25" s="196" t="s">
        <v>112</v>
      </c>
      <c r="D25" s="97"/>
      <c r="E25" s="97"/>
      <c r="F25" s="97"/>
      <c r="G25" s="97"/>
      <c r="H25" s="97"/>
      <c r="I25" s="97"/>
      <c r="J25" s="97"/>
      <c r="K25" s="97"/>
      <c r="L25" s="9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180">
        <v>1</v>
      </c>
      <c r="B26" s="190" t="s">
        <v>8</v>
      </c>
      <c r="C26" s="110">
        <v>1623000</v>
      </c>
      <c r="D26" s="117"/>
      <c r="E26" s="97"/>
      <c r="F26" s="97"/>
      <c r="G26" s="97"/>
      <c r="H26" s="97"/>
      <c r="I26" s="97"/>
      <c r="J26" s="97"/>
      <c r="K26" s="97"/>
      <c r="L26" s="9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192">
        <f t="shared" ref="A27:A28" si="6">A26+1</f>
        <v>2</v>
      </c>
      <c r="B27" s="193" t="s">
        <v>113</v>
      </c>
      <c r="C27" s="114">
        <v>0</v>
      </c>
      <c r="D27" s="97"/>
      <c r="E27" s="97"/>
      <c r="F27" s="97"/>
      <c r="G27" s="97"/>
      <c r="H27" s="97"/>
      <c r="I27" s="97"/>
      <c r="J27" s="97"/>
      <c r="K27" s="97"/>
      <c r="L27" s="9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194">
        <f t="shared" si="6"/>
        <v>3</v>
      </c>
      <c r="B28" s="197" t="s">
        <v>114</v>
      </c>
      <c r="C28" s="118">
        <v>0</v>
      </c>
      <c r="E28" s="97"/>
      <c r="F28" s="97"/>
      <c r="G28" s="97"/>
      <c r="H28" s="97"/>
      <c r="I28" s="97"/>
      <c r="J28" s="97"/>
      <c r="K28" s="97"/>
      <c r="L28" s="9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98"/>
      <c r="D29" s="119"/>
      <c r="E29" s="97"/>
      <c r="F29" s="97"/>
      <c r="G29" s="97"/>
      <c r="H29" s="97"/>
      <c r="I29" s="97"/>
      <c r="J29" s="97"/>
      <c r="K29" s="97"/>
      <c r="L29" s="9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97"/>
      <c r="B30" s="97"/>
      <c r="C30" s="97"/>
      <c r="D30" s="119"/>
      <c r="E30" s="97"/>
      <c r="F30" s="97"/>
      <c r="G30" s="97"/>
      <c r="H30" s="97"/>
      <c r="I30" s="97"/>
      <c r="J30" s="97"/>
      <c r="K30" s="97"/>
      <c r="L30" s="9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122" t="s">
        <v>3</v>
      </c>
      <c r="B31" s="122" t="s">
        <v>115</v>
      </c>
      <c r="C31" s="196" t="s">
        <v>112</v>
      </c>
      <c r="D31" s="119"/>
      <c r="E31" s="97"/>
      <c r="F31" s="97"/>
      <c r="G31" s="97"/>
      <c r="H31" s="97"/>
      <c r="I31" s="97"/>
      <c r="J31" s="97"/>
      <c r="K31" s="97"/>
      <c r="L31" s="9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180">
        <v>1</v>
      </c>
      <c r="B32" s="190" t="s">
        <v>116</v>
      </c>
      <c r="C32" s="110">
        <v>0</v>
      </c>
      <c r="D32" s="119"/>
      <c r="E32" s="97"/>
      <c r="F32" s="97"/>
      <c r="G32" s="97"/>
      <c r="H32" s="97"/>
      <c r="I32" s="97"/>
      <c r="J32" s="97"/>
      <c r="K32" s="97"/>
      <c r="L32" s="9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192">
        <f t="shared" ref="A33:A34" si="7">A32+1</f>
        <v>2</v>
      </c>
      <c r="B33" s="193" t="s">
        <v>117</v>
      </c>
      <c r="C33" s="250" t="e">
        <f>'Simple Output'!C18*10%</f>
        <v>#VALUE!</v>
      </c>
      <c r="D33" s="119"/>
      <c r="E33" s="97"/>
      <c r="F33" s="97"/>
      <c r="G33" s="97"/>
      <c r="H33" s="97"/>
      <c r="I33" s="97"/>
      <c r="J33" s="97"/>
      <c r="K33" s="97"/>
      <c r="L33" s="9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194">
        <f t="shared" si="7"/>
        <v>3</v>
      </c>
      <c r="B34" s="197" t="s">
        <v>118</v>
      </c>
      <c r="C34" s="120">
        <v>7.0000000000000007E-2</v>
      </c>
      <c r="D34" s="119"/>
      <c r="E34" s="97"/>
      <c r="F34" s="97"/>
      <c r="G34" s="97"/>
      <c r="H34" s="97"/>
      <c r="I34" s="97"/>
      <c r="J34" s="97"/>
      <c r="K34" s="97"/>
      <c r="L34" s="9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D35" s="119"/>
      <c r="E35" s="97"/>
      <c r="F35" s="97"/>
      <c r="G35" s="97"/>
      <c r="H35" s="97"/>
      <c r="I35" s="97"/>
      <c r="J35" s="97"/>
      <c r="K35" s="97"/>
      <c r="L35" s="9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97"/>
      <c r="B36" s="97"/>
      <c r="C36" s="97"/>
      <c r="D36" s="119"/>
      <c r="E36" s="97"/>
      <c r="F36" s="97"/>
      <c r="G36" s="97"/>
      <c r="H36" s="97"/>
      <c r="I36" s="97"/>
      <c r="J36" s="97"/>
      <c r="K36" s="97"/>
      <c r="L36" s="9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/>
    <row r="236" spans="1:25" ht="15.75" customHeight="1"/>
    <row r="237" spans="1:25" ht="15.75" customHeight="1"/>
    <row r="238" spans="1:25" ht="15.75" customHeight="1"/>
    <row r="239" spans="1:25" ht="15.75" customHeight="1"/>
    <row r="240" spans="1:2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I6:J6"/>
  </mergeCells>
  <dataValidations count="2">
    <dataValidation type="list" allowBlank="1" showErrorMessage="1" sqref="J5" xr:uid="{00000000-0002-0000-0400-000000000000}">
      <formula1>"Best,Average,Worst"</formula1>
    </dataValidation>
    <dataValidation type="list" allowBlank="1" showErrorMessage="1" sqref="D17:D23" xr:uid="{00000000-0002-0000-0400-000001000000}">
      <formula1>"Fixed Cost,Variable Cost,Operating Cost"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A990"/>
  <sheetViews>
    <sheetView showGridLines="0" workbookViewId="0">
      <selection activeCell="B16" sqref="B16:I16"/>
    </sheetView>
  </sheetViews>
  <sheetFormatPr defaultColWidth="14.42578125" defaultRowHeight="15" customHeight="1"/>
  <cols>
    <col min="1" max="1" width="2.85546875" customWidth="1"/>
    <col min="2" max="2" width="13.5703125" customWidth="1"/>
    <col min="3" max="3" width="16.5703125" customWidth="1"/>
    <col min="4" max="4" width="8.7109375" customWidth="1"/>
    <col min="5" max="5" width="10.28515625" customWidth="1"/>
    <col min="6" max="6" width="12.7109375" customWidth="1"/>
    <col min="7" max="7" width="9.85546875" customWidth="1"/>
    <col min="8" max="8" width="19.85546875" customWidth="1"/>
    <col min="9" max="9" width="12.7109375" customWidth="1"/>
    <col min="10" max="10" width="20" customWidth="1"/>
    <col min="11" max="11" width="12.85546875" customWidth="1"/>
    <col min="12" max="12" width="11" customWidth="1"/>
    <col min="13" max="15" width="8.7109375" customWidth="1"/>
    <col min="16" max="16" width="17.85546875" customWidth="1"/>
    <col min="17" max="27" width="8.7109375" customWidth="1"/>
  </cols>
  <sheetData>
    <row r="1" spans="1:27" ht="14.25" customHeight="1">
      <c r="A1" s="1" t="s">
        <v>0</v>
      </c>
      <c r="B1" s="3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customHeight="1">
      <c r="A2" s="121" t="s">
        <v>119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customHeight="1">
      <c r="A3" s="36"/>
      <c r="B3" s="2"/>
      <c r="C3" s="2"/>
      <c r="D3" s="2"/>
      <c r="E3" s="2"/>
      <c r="F3" s="2"/>
      <c r="G3" s="2"/>
      <c r="H3" s="2"/>
      <c r="I3" s="2"/>
      <c r="J3" s="36"/>
      <c r="K3" s="36"/>
      <c r="L3" s="3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.25" customHeight="1">
      <c r="A4" s="199" t="s">
        <v>120</v>
      </c>
      <c r="B4" s="200"/>
      <c r="C4" s="200"/>
      <c r="D4" s="200"/>
      <c r="E4" s="200"/>
      <c r="F4" s="200"/>
      <c r="G4" s="200"/>
      <c r="H4" s="200"/>
      <c r="I4" s="2"/>
      <c r="J4" s="36"/>
      <c r="K4" s="36"/>
      <c r="L4" s="3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3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4.25" customHeight="1">
      <c r="A6" s="2"/>
      <c r="B6" s="123" t="s">
        <v>5</v>
      </c>
      <c r="C6" s="123" t="s">
        <v>6</v>
      </c>
      <c r="D6" s="2"/>
      <c r="E6" s="275" t="s">
        <v>22</v>
      </c>
      <c r="F6" s="268"/>
      <c r="G6" s="123" t="s">
        <v>6</v>
      </c>
      <c r="H6" s="2"/>
      <c r="I6" s="2"/>
      <c r="J6" s="123" t="s">
        <v>121</v>
      </c>
      <c r="K6" s="201" t="s">
        <v>122</v>
      </c>
      <c r="L6" s="202" t="s">
        <v>123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4.25" customHeight="1">
      <c r="A7" s="2"/>
      <c r="B7" s="38" t="s">
        <v>124</v>
      </c>
      <c r="C7" s="39">
        <f>'Inputs 1'!C26</f>
        <v>1623000</v>
      </c>
      <c r="D7" s="2"/>
      <c r="E7" s="40" t="s">
        <v>13</v>
      </c>
      <c r="F7" s="198"/>
      <c r="G7" s="203">
        <f t="shared" ref="G7:G8" si="0">C9</f>
        <v>1623000</v>
      </c>
      <c r="H7" s="2"/>
      <c r="I7" s="2"/>
      <c r="J7" s="41" t="s">
        <v>125</v>
      </c>
      <c r="K7" s="204">
        <f t="shared" ref="K7:K9" si="1">$K$10*L7</f>
        <v>324600</v>
      </c>
      <c r="L7" s="42">
        <v>0.2</v>
      </c>
      <c r="M7" s="3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>
      <c r="A8" s="2"/>
      <c r="B8" s="43" t="s">
        <v>10</v>
      </c>
      <c r="C8" s="39">
        <f>'Inputs 1'!C27+'Inputs 1'!C28</f>
        <v>0</v>
      </c>
      <c r="D8" s="2"/>
      <c r="E8" s="44" t="s">
        <v>126</v>
      </c>
      <c r="F8" s="205"/>
      <c r="G8" s="45">
        <f t="shared" si="0"/>
        <v>1298400</v>
      </c>
      <c r="H8" s="2"/>
      <c r="I8" s="2"/>
      <c r="J8" s="41" t="s">
        <v>127</v>
      </c>
      <c r="K8" s="204">
        <f t="shared" si="1"/>
        <v>0</v>
      </c>
      <c r="L8" s="42">
        <v>0</v>
      </c>
      <c r="M8" s="3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>
      <c r="A9" s="2"/>
      <c r="B9" s="46" t="s">
        <v>128</v>
      </c>
      <c r="C9" s="47">
        <f>SUM(C7:C8)</f>
        <v>1623000</v>
      </c>
      <c r="D9" s="30"/>
      <c r="E9" s="44" t="s">
        <v>117</v>
      </c>
      <c r="F9" s="205"/>
      <c r="G9" s="45" t="e">
        <f>'Inputs 1'!$C$33</f>
        <v>#VALUE!</v>
      </c>
      <c r="H9" s="2"/>
      <c r="I9" s="2"/>
      <c r="J9" s="41" t="s">
        <v>129</v>
      </c>
      <c r="K9" s="204">
        <f t="shared" si="1"/>
        <v>1298400</v>
      </c>
      <c r="L9" s="42">
        <v>0.8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>
      <c r="A10" s="2"/>
      <c r="B10" s="43" t="s">
        <v>126</v>
      </c>
      <c r="C10" s="48">
        <f>K9</f>
        <v>1298400</v>
      </c>
      <c r="D10" s="2"/>
      <c r="E10" s="2"/>
      <c r="F10" s="2"/>
      <c r="G10" s="2"/>
      <c r="H10" s="2"/>
      <c r="I10" s="2"/>
      <c r="J10" s="49" t="s">
        <v>130</v>
      </c>
      <c r="K10" s="206">
        <f>C9</f>
        <v>1623000</v>
      </c>
      <c r="L10" s="207">
        <f>SUM(L7:L9)</f>
        <v>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4.25" customHeight="1">
      <c r="A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>
      <c r="A12" s="3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3.25" customHeight="1">
      <c r="A13" s="2"/>
      <c r="B13" s="122" t="s">
        <v>14</v>
      </c>
      <c r="C13" s="122" t="s">
        <v>131</v>
      </c>
      <c r="D13" s="122" t="s">
        <v>132</v>
      </c>
      <c r="E13" s="122" t="s">
        <v>35</v>
      </c>
      <c r="F13" s="122" t="s">
        <v>133</v>
      </c>
      <c r="G13" s="122" t="s">
        <v>134</v>
      </c>
      <c r="H13" s="122" t="s">
        <v>135</v>
      </c>
      <c r="I13" s="122" t="s">
        <v>136</v>
      </c>
      <c r="J13" s="122" t="s">
        <v>137</v>
      </c>
      <c r="K13" s="2"/>
      <c r="L13" s="3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4.25" customHeight="1">
      <c r="A14" s="50"/>
      <c r="B14" s="51">
        <v>0.12</v>
      </c>
      <c r="C14" s="52">
        <v>60</v>
      </c>
      <c r="D14" s="53">
        <f>$C$9-$C$10</f>
        <v>324600</v>
      </c>
      <c r="E14" s="54">
        <f>PMT(B14/12,C14,-$C$10)</f>
        <v>28882.190874076463</v>
      </c>
      <c r="F14" s="54">
        <f>PRODUCT(E14,C14)</f>
        <v>1732931.4524445878</v>
      </c>
      <c r="G14" s="54">
        <f>F14-$C$10</f>
        <v>434531.45244458783</v>
      </c>
      <c r="H14" s="54">
        <f>D14+F14</f>
        <v>2057531.4524445878</v>
      </c>
      <c r="I14" s="54" t="e">
        <f>PV($B14/12,$C14,-$G$9)</f>
        <v>#VALUE!</v>
      </c>
      <c r="J14" s="54" t="e">
        <f>H14-(I14+D14)</f>
        <v>#VALUE!</v>
      </c>
      <c r="K14" s="30" t="s">
        <v>138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4.25" customHeight="1">
      <c r="A15" s="2"/>
      <c r="B15" s="3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2.5" customHeight="1">
      <c r="A16" s="2"/>
      <c r="B16" s="276" t="s">
        <v>139</v>
      </c>
      <c r="C16" s="276"/>
      <c r="D16" s="276"/>
      <c r="E16" s="276"/>
      <c r="F16" s="276"/>
      <c r="G16" s="276"/>
      <c r="H16" s="276"/>
      <c r="I16" s="27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6.25" customHeight="1">
      <c r="A17" s="36"/>
      <c r="B17" s="122" t="s">
        <v>140</v>
      </c>
      <c r="C17" s="122" t="s">
        <v>141</v>
      </c>
      <c r="D17" s="122" t="s">
        <v>142</v>
      </c>
      <c r="E17" s="122" t="s">
        <v>35</v>
      </c>
      <c r="F17" s="122" t="s">
        <v>143</v>
      </c>
      <c r="G17" s="122" t="s">
        <v>15</v>
      </c>
      <c r="H17" s="196" t="s">
        <v>144</v>
      </c>
      <c r="I17" s="196" t="s">
        <v>145</v>
      </c>
      <c r="J17" s="36"/>
      <c r="K17" s="36"/>
      <c r="L17" s="36"/>
      <c r="M17" s="36"/>
      <c r="N17" s="36"/>
      <c r="O17" s="36"/>
      <c r="P17" s="36"/>
      <c r="Q17" s="36"/>
      <c r="R17" s="36"/>
      <c r="S17" s="2"/>
      <c r="T17" s="2"/>
      <c r="U17" s="2"/>
      <c r="V17" s="2"/>
      <c r="W17" s="2"/>
      <c r="X17" s="2"/>
      <c r="Y17" s="2"/>
      <c r="Z17" s="2"/>
      <c r="AA17" s="2"/>
    </row>
    <row r="18" spans="1:27" ht="14.25" customHeight="1">
      <c r="A18" s="36"/>
      <c r="B18" s="10">
        <v>0</v>
      </c>
      <c r="C18" s="55">
        <v>0</v>
      </c>
      <c r="D18" s="55">
        <v>0</v>
      </c>
      <c r="E18" s="55">
        <v>0</v>
      </c>
      <c r="F18" s="55">
        <v>0</v>
      </c>
      <c r="G18" s="11">
        <f>-C9</f>
        <v>-1623000</v>
      </c>
      <c r="H18" s="11">
        <f>G18</f>
        <v>-1623000</v>
      </c>
      <c r="I18" s="56" t="str">
        <f t="shared" ref="I18:I54" si="2">IF(AND(H18&lt;0,H19&gt;0),B18+(-H18/G18),"-")</f>
        <v>-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4.25" customHeight="1">
      <c r="A19" s="36"/>
      <c r="B19" s="10">
        <f t="shared" ref="B19:B78" si="3">B18+1</f>
        <v>1</v>
      </c>
      <c r="C19" s="11">
        <f>C10</f>
        <v>1298400</v>
      </c>
      <c r="D19" s="8">
        <f t="shared" ref="D19:D54" si="4">C19*($B$14/12)</f>
        <v>12984</v>
      </c>
      <c r="E19" s="57">
        <f t="shared" ref="E19:E78" si="5">$E$14</f>
        <v>28882.190874076463</v>
      </c>
      <c r="F19" s="8">
        <f t="shared" ref="F19:F54" si="6">C19+D19-E19</f>
        <v>1282501.8091259236</v>
      </c>
      <c r="G19" s="58">
        <f>'Financial Overview'!$C$8</f>
        <v>-899000</v>
      </c>
      <c r="H19" s="8">
        <f t="shared" ref="H19:H54" si="7">H18+G19</f>
        <v>-2522000</v>
      </c>
      <c r="I19" s="56" t="str">
        <f t="shared" si="2"/>
        <v>-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4.25" customHeight="1">
      <c r="A20" s="36"/>
      <c r="B20" s="10">
        <f t="shared" si="3"/>
        <v>2</v>
      </c>
      <c r="C20" s="8">
        <f t="shared" ref="C20:C54" si="8">F19</f>
        <v>1282501.8091259236</v>
      </c>
      <c r="D20" s="8">
        <f t="shared" si="4"/>
        <v>12825.018091259235</v>
      </c>
      <c r="E20" s="57">
        <f t="shared" si="5"/>
        <v>28882.190874076463</v>
      </c>
      <c r="F20" s="8">
        <f t="shared" si="6"/>
        <v>1266444.6363431064</v>
      </c>
      <c r="G20" s="58">
        <f>'Financial Overview'!$C$8</f>
        <v>-899000</v>
      </c>
      <c r="H20" s="8">
        <f t="shared" si="7"/>
        <v>-3421000</v>
      </c>
      <c r="I20" s="56" t="str">
        <f t="shared" si="2"/>
        <v>-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4.25" customHeight="1">
      <c r="A21" s="36"/>
      <c r="B21" s="10">
        <f t="shared" si="3"/>
        <v>3</v>
      </c>
      <c r="C21" s="8">
        <f t="shared" si="8"/>
        <v>1266444.6363431064</v>
      </c>
      <c r="D21" s="8">
        <f t="shared" si="4"/>
        <v>12664.446363431065</v>
      </c>
      <c r="E21" s="57">
        <f t="shared" si="5"/>
        <v>28882.190874076463</v>
      </c>
      <c r="F21" s="8">
        <f t="shared" si="6"/>
        <v>1250226.8918324611</v>
      </c>
      <c r="G21" s="58">
        <f>'Financial Overview'!$C$8</f>
        <v>-899000</v>
      </c>
      <c r="H21" s="8">
        <f t="shared" si="7"/>
        <v>-4320000</v>
      </c>
      <c r="I21" s="56" t="str">
        <f t="shared" si="2"/>
        <v>-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4.25" customHeight="1">
      <c r="A22" s="36"/>
      <c r="B22" s="10">
        <f t="shared" si="3"/>
        <v>4</v>
      </c>
      <c r="C22" s="8">
        <f t="shared" si="8"/>
        <v>1250226.8918324611</v>
      </c>
      <c r="D22" s="8">
        <f t="shared" si="4"/>
        <v>12502.268918324611</v>
      </c>
      <c r="E22" s="57">
        <f t="shared" si="5"/>
        <v>28882.190874076463</v>
      </c>
      <c r="F22" s="8">
        <f t="shared" si="6"/>
        <v>1233846.9698767094</v>
      </c>
      <c r="G22" s="58">
        <f>'Financial Overview'!$C$8</f>
        <v>-899000</v>
      </c>
      <c r="H22" s="8">
        <f t="shared" si="7"/>
        <v>-5219000</v>
      </c>
      <c r="I22" s="56" t="str">
        <f t="shared" si="2"/>
        <v>-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4.25" customHeight="1">
      <c r="A23" s="36"/>
      <c r="B23" s="10">
        <f t="shared" si="3"/>
        <v>5</v>
      </c>
      <c r="C23" s="8">
        <f t="shared" si="8"/>
        <v>1233846.9698767094</v>
      </c>
      <c r="D23" s="8">
        <f t="shared" si="4"/>
        <v>12338.469698767094</v>
      </c>
      <c r="E23" s="57">
        <f t="shared" si="5"/>
        <v>28882.190874076463</v>
      </c>
      <c r="F23" s="8">
        <f t="shared" si="6"/>
        <v>1217303.2487014001</v>
      </c>
      <c r="G23" s="58">
        <f>'Financial Overview'!$C$8</f>
        <v>-899000</v>
      </c>
      <c r="H23" s="8">
        <f t="shared" si="7"/>
        <v>-6118000</v>
      </c>
      <c r="I23" s="56" t="str">
        <f t="shared" si="2"/>
        <v>-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4.25" customHeight="1">
      <c r="A24" s="36"/>
      <c r="B24" s="10">
        <f t="shared" si="3"/>
        <v>6</v>
      </c>
      <c r="C24" s="8">
        <f t="shared" si="8"/>
        <v>1217303.2487014001</v>
      </c>
      <c r="D24" s="8">
        <f t="shared" si="4"/>
        <v>12173.032487014001</v>
      </c>
      <c r="E24" s="57">
        <f t="shared" si="5"/>
        <v>28882.190874076463</v>
      </c>
      <c r="F24" s="8">
        <f t="shared" si="6"/>
        <v>1200594.0903143378</v>
      </c>
      <c r="G24" s="58">
        <f>'Financial Overview'!$C$8</f>
        <v>-899000</v>
      </c>
      <c r="H24" s="8">
        <f t="shared" si="7"/>
        <v>-7017000</v>
      </c>
      <c r="I24" s="56" t="str">
        <f t="shared" si="2"/>
        <v>-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4.25" customHeight="1">
      <c r="A25" s="36"/>
      <c r="B25" s="10">
        <f t="shared" si="3"/>
        <v>7</v>
      </c>
      <c r="C25" s="8">
        <f t="shared" si="8"/>
        <v>1200594.0903143378</v>
      </c>
      <c r="D25" s="8">
        <f t="shared" si="4"/>
        <v>12005.940903143377</v>
      </c>
      <c r="E25" s="57">
        <f t="shared" si="5"/>
        <v>28882.190874076463</v>
      </c>
      <c r="F25" s="8">
        <f t="shared" si="6"/>
        <v>1183717.8403434048</v>
      </c>
      <c r="G25" s="58">
        <f>'Financial Overview'!$C$8</f>
        <v>-899000</v>
      </c>
      <c r="H25" s="8">
        <f t="shared" si="7"/>
        <v>-7916000</v>
      </c>
      <c r="I25" s="56" t="str">
        <f t="shared" si="2"/>
        <v>-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4.25" customHeight="1">
      <c r="A26" s="36"/>
      <c r="B26" s="10">
        <f t="shared" si="3"/>
        <v>8</v>
      </c>
      <c r="C26" s="8">
        <f t="shared" si="8"/>
        <v>1183717.8403434048</v>
      </c>
      <c r="D26" s="8">
        <f t="shared" si="4"/>
        <v>11837.178403434049</v>
      </c>
      <c r="E26" s="57">
        <f t="shared" si="5"/>
        <v>28882.190874076463</v>
      </c>
      <c r="F26" s="8">
        <f t="shared" si="6"/>
        <v>1166672.8278727625</v>
      </c>
      <c r="G26" s="58">
        <f>'Financial Overview'!$C$8</f>
        <v>-899000</v>
      </c>
      <c r="H26" s="8">
        <f t="shared" si="7"/>
        <v>-8815000</v>
      </c>
      <c r="I26" s="56" t="str">
        <f t="shared" si="2"/>
        <v>-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4.25" customHeight="1">
      <c r="A27" s="36"/>
      <c r="B27" s="10">
        <f t="shared" si="3"/>
        <v>9</v>
      </c>
      <c r="C27" s="8">
        <f t="shared" si="8"/>
        <v>1166672.8278727625</v>
      </c>
      <c r="D27" s="8">
        <f t="shared" si="4"/>
        <v>11666.728278727625</v>
      </c>
      <c r="E27" s="57">
        <f t="shared" si="5"/>
        <v>28882.190874076463</v>
      </c>
      <c r="F27" s="8">
        <f t="shared" si="6"/>
        <v>1149457.3652774137</v>
      </c>
      <c r="G27" s="58">
        <f>'Financial Overview'!$C$8</f>
        <v>-899000</v>
      </c>
      <c r="H27" s="8">
        <f t="shared" si="7"/>
        <v>-9714000</v>
      </c>
      <c r="I27" s="56" t="str">
        <f t="shared" si="2"/>
        <v>-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4.25" customHeight="1">
      <c r="A28" s="36"/>
      <c r="B28" s="10">
        <f t="shared" si="3"/>
        <v>10</v>
      </c>
      <c r="C28" s="8">
        <f t="shared" si="8"/>
        <v>1149457.3652774137</v>
      </c>
      <c r="D28" s="8">
        <f t="shared" si="4"/>
        <v>11494.573652774137</v>
      </c>
      <c r="E28" s="57">
        <f t="shared" si="5"/>
        <v>28882.190874076463</v>
      </c>
      <c r="F28" s="8">
        <f t="shared" si="6"/>
        <v>1132069.7480561114</v>
      </c>
      <c r="G28" s="58">
        <f>'Financial Overview'!$C$8</f>
        <v>-899000</v>
      </c>
      <c r="H28" s="8">
        <f t="shared" si="7"/>
        <v>-10613000</v>
      </c>
      <c r="I28" s="56" t="str">
        <f t="shared" si="2"/>
        <v>-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4.25" customHeight="1">
      <c r="A29" s="36"/>
      <c r="B29" s="10">
        <f t="shared" si="3"/>
        <v>11</v>
      </c>
      <c r="C29" s="8">
        <f t="shared" si="8"/>
        <v>1132069.7480561114</v>
      </c>
      <c r="D29" s="8">
        <f t="shared" si="4"/>
        <v>11320.697480561113</v>
      </c>
      <c r="E29" s="57">
        <f t="shared" si="5"/>
        <v>28882.190874076463</v>
      </c>
      <c r="F29" s="8">
        <f t="shared" si="6"/>
        <v>1114508.2546625962</v>
      </c>
      <c r="G29" s="58">
        <f>'Financial Overview'!$C$8</f>
        <v>-899000</v>
      </c>
      <c r="H29" s="8">
        <f t="shared" si="7"/>
        <v>-11512000</v>
      </c>
      <c r="I29" s="56" t="str">
        <f t="shared" si="2"/>
        <v>-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4.25" customHeight="1">
      <c r="A30" s="36"/>
      <c r="B30" s="149">
        <f t="shared" si="3"/>
        <v>12</v>
      </c>
      <c r="C30" s="208">
        <f t="shared" si="8"/>
        <v>1114508.2546625962</v>
      </c>
      <c r="D30" s="208">
        <f t="shared" si="4"/>
        <v>11145.082546625961</v>
      </c>
      <c r="E30" s="209">
        <f t="shared" si="5"/>
        <v>28882.190874076463</v>
      </c>
      <c r="F30" s="208">
        <f t="shared" si="6"/>
        <v>1096771.1463351457</v>
      </c>
      <c r="G30" s="210">
        <f>'Financial Overview'!$C$8</f>
        <v>-899000</v>
      </c>
      <c r="H30" s="208">
        <f t="shared" si="7"/>
        <v>-12411000</v>
      </c>
      <c r="I30" s="211" t="str">
        <f t="shared" si="2"/>
        <v>-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customHeight="1">
      <c r="A31" s="36"/>
      <c r="B31" s="10">
        <f t="shared" si="3"/>
        <v>13</v>
      </c>
      <c r="C31" s="8">
        <f t="shared" si="8"/>
        <v>1096771.1463351457</v>
      </c>
      <c r="D31" s="8">
        <f t="shared" si="4"/>
        <v>10967.711463351457</v>
      </c>
      <c r="E31" s="57">
        <f t="shared" si="5"/>
        <v>28882.190874076463</v>
      </c>
      <c r="F31" s="8">
        <f t="shared" si="6"/>
        <v>1078856.6669244207</v>
      </c>
      <c r="G31" s="59">
        <f>'Financial Overview'!$E$8</f>
        <v>-899000</v>
      </c>
      <c r="H31" s="8">
        <f t="shared" si="7"/>
        <v>-13310000</v>
      </c>
      <c r="I31" s="56" t="str">
        <f t="shared" si="2"/>
        <v>-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customHeight="1">
      <c r="A32" s="36"/>
      <c r="B32" s="10">
        <f t="shared" si="3"/>
        <v>14</v>
      </c>
      <c r="C32" s="8">
        <f t="shared" si="8"/>
        <v>1078856.6669244207</v>
      </c>
      <c r="D32" s="8">
        <f t="shared" si="4"/>
        <v>10788.566669244208</v>
      </c>
      <c r="E32" s="57">
        <f t="shared" si="5"/>
        <v>28882.190874076463</v>
      </c>
      <c r="F32" s="8">
        <f t="shared" si="6"/>
        <v>1060763.0427195886</v>
      </c>
      <c r="G32" s="59">
        <f>'Financial Overview'!$E$8</f>
        <v>-899000</v>
      </c>
      <c r="H32" s="8">
        <f t="shared" si="7"/>
        <v>-14209000</v>
      </c>
      <c r="I32" s="56" t="str">
        <f t="shared" si="2"/>
        <v>-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customHeight="1">
      <c r="A33" s="36"/>
      <c r="B33" s="10">
        <f t="shared" si="3"/>
        <v>15</v>
      </c>
      <c r="C33" s="8">
        <f t="shared" si="8"/>
        <v>1060763.0427195886</v>
      </c>
      <c r="D33" s="8">
        <f t="shared" si="4"/>
        <v>10607.630427195887</v>
      </c>
      <c r="E33" s="57">
        <f t="shared" si="5"/>
        <v>28882.190874076463</v>
      </c>
      <c r="F33" s="8">
        <f t="shared" si="6"/>
        <v>1042488.4822727081</v>
      </c>
      <c r="G33" s="59">
        <f>'Financial Overview'!$E$8</f>
        <v>-899000</v>
      </c>
      <c r="H33" s="8">
        <f t="shared" si="7"/>
        <v>-15108000</v>
      </c>
      <c r="I33" s="56" t="str">
        <f t="shared" si="2"/>
        <v>-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customHeight="1">
      <c r="A34" s="36"/>
      <c r="B34" s="10">
        <f t="shared" si="3"/>
        <v>16</v>
      </c>
      <c r="C34" s="8">
        <f t="shared" si="8"/>
        <v>1042488.4822727081</v>
      </c>
      <c r="D34" s="8">
        <f t="shared" si="4"/>
        <v>10424.884822727081</v>
      </c>
      <c r="E34" s="57">
        <f t="shared" si="5"/>
        <v>28882.190874076463</v>
      </c>
      <c r="F34" s="8">
        <f t="shared" si="6"/>
        <v>1024031.1762213588</v>
      </c>
      <c r="G34" s="59">
        <f>'Financial Overview'!$E$8</f>
        <v>-899000</v>
      </c>
      <c r="H34" s="8">
        <f t="shared" si="7"/>
        <v>-16007000</v>
      </c>
      <c r="I34" s="56" t="str">
        <f t="shared" si="2"/>
        <v>-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customHeight="1">
      <c r="A35" s="36"/>
      <c r="B35" s="10">
        <f t="shared" si="3"/>
        <v>17</v>
      </c>
      <c r="C35" s="8">
        <f t="shared" si="8"/>
        <v>1024031.1762213588</v>
      </c>
      <c r="D35" s="8">
        <f t="shared" si="4"/>
        <v>10240.311762213589</v>
      </c>
      <c r="E35" s="57">
        <f t="shared" si="5"/>
        <v>28882.190874076463</v>
      </c>
      <c r="F35" s="8">
        <f t="shared" si="6"/>
        <v>1005389.297109496</v>
      </c>
      <c r="G35" s="59">
        <f>'Financial Overview'!$E$8</f>
        <v>-899000</v>
      </c>
      <c r="H35" s="8">
        <f t="shared" si="7"/>
        <v>-16906000</v>
      </c>
      <c r="I35" s="56" t="str">
        <f t="shared" si="2"/>
        <v>-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customHeight="1">
      <c r="A36" s="36"/>
      <c r="B36" s="10">
        <f t="shared" si="3"/>
        <v>18</v>
      </c>
      <c r="C36" s="8">
        <f t="shared" si="8"/>
        <v>1005389.297109496</v>
      </c>
      <c r="D36" s="8">
        <f t="shared" si="4"/>
        <v>10053.89297109496</v>
      </c>
      <c r="E36" s="57">
        <f t="shared" si="5"/>
        <v>28882.190874076463</v>
      </c>
      <c r="F36" s="8">
        <f t="shared" si="6"/>
        <v>986560.99920651445</v>
      </c>
      <c r="G36" s="59">
        <f>'Financial Overview'!$E$8</f>
        <v>-899000</v>
      </c>
      <c r="H36" s="8">
        <f t="shared" si="7"/>
        <v>-17805000</v>
      </c>
      <c r="I36" s="56" t="str">
        <f t="shared" si="2"/>
        <v>-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customHeight="1">
      <c r="A37" s="36"/>
      <c r="B37" s="10">
        <f t="shared" si="3"/>
        <v>19</v>
      </c>
      <c r="C37" s="8">
        <f t="shared" si="8"/>
        <v>986560.99920651445</v>
      </c>
      <c r="D37" s="8">
        <f t="shared" si="4"/>
        <v>9865.609992065145</v>
      </c>
      <c r="E37" s="57">
        <f t="shared" si="5"/>
        <v>28882.190874076463</v>
      </c>
      <c r="F37" s="8">
        <f t="shared" si="6"/>
        <v>967544.41832450312</v>
      </c>
      <c r="G37" s="59">
        <f>'Financial Overview'!$E$8</f>
        <v>-899000</v>
      </c>
      <c r="H37" s="8">
        <f t="shared" si="7"/>
        <v>-18704000</v>
      </c>
      <c r="I37" s="56" t="str">
        <f t="shared" si="2"/>
        <v>-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customHeight="1">
      <c r="A38" s="36"/>
      <c r="B38" s="10">
        <f t="shared" si="3"/>
        <v>20</v>
      </c>
      <c r="C38" s="8">
        <f t="shared" si="8"/>
        <v>967544.41832450312</v>
      </c>
      <c r="D38" s="8">
        <f t="shared" si="4"/>
        <v>9675.444183245032</v>
      </c>
      <c r="E38" s="57">
        <f t="shared" si="5"/>
        <v>28882.190874076463</v>
      </c>
      <c r="F38" s="8">
        <f t="shared" si="6"/>
        <v>948337.67163367174</v>
      </c>
      <c r="G38" s="59">
        <f>'Financial Overview'!$E$8</f>
        <v>-899000</v>
      </c>
      <c r="H38" s="8">
        <f t="shared" si="7"/>
        <v>-19603000</v>
      </c>
      <c r="I38" s="56" t="str">
        <f t="shared" si="2"/>
        <v>-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customHeight="1">
      <c r="A39" s="36"/>
      <c r="B39" s="10">
        <f t="shared" si="3"/>
        <v>21</v>
      </c>
      <c r="C39" s="8">
        <f t="shared" si="8"/>
        <v>948337.67163367174</v>
      </c>
      <c r="D39" s="8">
        <f t="shared" si="4"/>
        <v>9483.3767163367174</v>
      </c>
      <c r="E39" s="57">
        <f t="shared" si="5"/>
        <v>28882.190874076463</v>
      </c>
      <c r="F39" s="8">
        <f t="shared" si="6"/>
        <v>928938.85747593199</v>
      </c>
      <c r="G39" s="59">
        <f>'Financial Overview'!$E$8</f>
        <v>-899000</v>
      </c>
      <c r="H39" s="8">
        <f t="shared" si="7"/>
        <v>-20502000</v>
      </c>
      <c r="I39" s="56" t="str">
        <f t="shared" si="2"/>
        <v>-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customHeight="1">
      <c r="A40" s="36"/>
      <c r="B40" s="10">
        <f t="shared" si="3"/>
        <v>22</v>
      </c>
      <c r="C40" s="8">
        <f t="shared" si="8"/>
        <v>928938.85747593199</v>
      </c>
      <c r="D40" s="8">
        <f t="shared" si="4"/>
        <v>9289.3885747593195</v>
      </c>
      <c r="E40" s="57">
        <f t="shared" si="5"/>
        <v>28882.190874076463</v>
      </c>
      <c r="F40" s="8">
        <f t="shared" si="6"/>
        <v>909346.0551766149</v>
      </c>
      <c r="G40" s="59">
        <f>'Financial Overview'!$E$8</f>
        <v>-899000</v>
      </c>
      <c r="H40" s="8">
        <f t="shared" si="7"/>
        <v>-21401000</v>
      </c>
      <c r="I40" s="56" t="str">
        <f t="shared" si="2"/>
        <v>-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customHeight="1">
      <c r="A41" s="36"/>
      <c r="B41" s="10">
        <f t="shared" si="3"/>
        <v>23</v>
      </c>
      <c r="C41" s="8">
        <f t="shared" si="8"/>
        <v>909346.0551766149</v>
      </c>
      <c r="D41" s="8">
        <f t="shared" si="4"/>
        <v>9093.4605517661494</v>
      </c>
      <c r="E41" s="57">
        <f t="shared" si="5"/>
        <v>28882.190874076463</v>
      </c>
      <c r="F41" s="8">
        <f t="shared" si="6"/>
        <v>889557.32485430455</v>
      </c>
      <c r="G41" s="59">
        <f>'Financial Overview'!$E$8</f>
        <v>-899000</v>
      </c>
      <c r="H41" s="8">
        <f t="shared" si="7"/>
        <v>-22300000</v>
      </c>
      <c r="I41" s="56" t="str">
        <f t="shared" si="2"/>
        <v>-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customHeight="1">
      <c r="A42" s="36"/>
      <c r="B42" s="149">
        <f t="shared" si="3"/>
        <v>24</v>
      </c>
      <c r="C42" s="208">
        <f t="shared" si="8"/>
        <v>889557.32485430455</v>
      </c>
      <c r="D42" s="208">
        <f t="shared" si="4"/>
        <v>8895.5732485430453</v>
      </c>
      <c r="E42" s="209">
        <f t="shared" si="5"/>
        <v>28882.190874076463</v>
      </c>
      <c r="F42" s="208">
        <f t="shared" si="6"/>
        <v>869570.70722877118</v>
      </c>
      <c r="G42" s="210">
        <f>'Financial Overview'!$E$8</f>
        <v>-899000</v>
      </c>
      <c r="H42" s="208">
        <f t="shared" si="7"/>
        <v>-23199000</v>
      </c>
      <c r="I42" s="211" t="str">
        <f t="shared" si="2"/>
        <v>-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customHeight="1">
      <c r="A43" s="36"/>
      <c r="B43" s="10">
        <f t="shared" si="3"/>
        <v>25</v>
      </c>
      <c r="C43" s="8">
        <f t="shared" si="8"/>
        <v>869570.70722877118</v>
      </c>
      <c r="D43" s="8">
        <f t="shared" si="4"/>
        <v>8695.7070722877124</v>
      </c>
      <c r="E43" s="57">
        <f t="shared" si="5"/>
        <v>28882.190874076463</v>
      </c>
      <c r="F43" s="8">
        <f t="shared" si="6"/>
        <v>849384.22342698241</v>
      </c>
      <c r="G43" s="58">
        <f>'Financial Overview'!$G$8</f>
        <v>-899000</v>
      </c>
      <c r="H43" s="8">
        <f t="shared" si="7"/>
        <v>-24098000</v>
      </c>
      <c r="I43" s="56" t="str">
        <f t="shared" si="2"/>
        <v>-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customHeight="1">
      <c r="A44" s="36"/>
      <c r="B44" s="10">
        <f t="shared" si="3"/>
        <v>26</v>
      </c>
      <c r="C44" s="8">
        <f t="shared" si="8"/>
        <v>849384.22342698241</v>
      </c>
      <c r="D44" s="8">
        <f t="shared" si="4"/>
        <v>8493.842234269825</v>
      </c>
      <c r="E44" s="57">
        <f t="shared" si="5"/>
        <v>28882.190874076463</v>
      </c>
      <c r="F44" s="8">
        <f t="shared" si="6"/>
        <v>828995.8747871758</v>
      </c>
      <c r="G44" s="58">
        <f>'Financial Overview'!$G$8</f>
        <v>-899000</v>
      </c>
      <c r="H44" s="8">
        <f t="shared" si="7"/>
        <v>-24997000</v>
      </c>
      <c r="I44" s="56" t="str">
        <f t="shared" si="2"/>
        <v>-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>
      <c r="A45" s="36"/>
      <c r="B45" s="10">
        <f t="shared" si="3"/>
        <v>27</v>
      </c>
      <c r="C45" s="8">
        <f t="shared" si="8"/>
        <v>828995.8747871758</v>
      </c>
      <c r="D45" s="8">
        <f t="shared" si="4"/>
        <v>8289.9587478717585</v>
      </c>
      <c r="E45" s="57">
        <f t="shared" si="5"/>
        <v>28882.190874076463</v>
      </c>
      <c r="F45" s="8">
        <f t="shared" si="6"/>
        <v>808403.64266097115</v>
      </c>
      <c r="G45" s="58">
        <f>'Financial Overview'!$G$8</f>
        <v>-899000</v>
      </c>
      <c r="H45" s="8">
        <f t="shared" si="7"/>
        <v>-25896000</v>
      </c>
      <c r="I45" s="56" t="str">
        <f t="shared" si="2"/>
        <v>-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>
      <c r="A46" s="36"/>
      <c r="B46" s="10">
        <f t="shared" si="3"/>
        <v>28</v>
      </c>
      <c r="C46" s="8">
        <f t="shared" si="8"/>
        <v>808403.64266097115</v>
      </c>
      <c r="D46" s="8">
        <f t="shared" si="4"/>
        <v>8084.0364266097113</v>
      </c>
      <c r="E46" s="57">
        <f t="shared" si="5"/>
        <v>28882.190874076463</v>
      </c>
      <c r="F46" s="8">
        <f t="shared" si="6"/>
        <v>787605.48821350443</v>
      </c>
      <c r="G46" s="58">
        <f>'Financial Overview'!$G$8</f>
        <v>-899000</v>
      </c>
      <c r="H46" s="8">
        <f t="shared" si="7"/>
        <v>-26795000</v>
      </c>
      <c r="I46" s="56" t="str">
        <f t="shared" si="2"/>
        <v>-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customHeight="1">
      <c r="A47" s="36"/>
      <c r="B47" s="10">
        <f t="shared" si="3"/>
        <v>29</v>
      </c>
      <c r="C47" s="8">
        <f t="shared" si="8"/>
        <v>787605.48821350443</v>
      </c>
      <c r="D47" s="8">
        <f t="shared" si="4"/>
        <v>7876.0548821350449</v>
      </c>
      <c r="E47" s="57">
        <f t="shared" si="5"/>
        <v>28882.190874076463</v>
      </c>
      <c r="F47" s="8">
        <f t="shared" si="6"/>
        <v>766599.35222156299</v>
      </c>
      <c r="G47" s="58">
        <f>'Financial Overview'!$G$8</f>
        <v>-899000</v>
      </c>
      <c r="H47" s="8">
        <f t="shared" si="7"/>
        <v>-27694000</v>
      </c>
      <c r="I47" s="56" t="str">
        <f t="shared" si="2"/>
        <v>-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customHeight="1">
      <c r="A48" s="36"/>
      <c r="B48" s="10">
        <f t="shared" si="3"/>
        <v>30</v>
      </c>
      <c r="C48" s="8">
        <f t="shared" si="8"/>
        <v>766599.35222156299</v>
      </c>
      <c r="D48" s="8">
        <f t="shared" si="4"/>
        <v>7665.99352221563</v>
      </c>
      <c r="E48" s="57">
        <f t="shared" si="5"/>
        <v>28882.190874076463</v>
      </c>
      <c r="F48" s="8">
        <f t="shared" si="6"/>
        <v>745383.15486970218</v>
      </c>
      <c r="G48" s="58">
        <f>'Financial Overview'!$G$8</f>
        <v>-899000</v>
      </c>
      <c r="H48" s="8">
        <f t="shared" si="7"/>
        <v>-28593000</v>
      </c>
      <c r="I48" s="56" t="str">
        <f t="shared" si="2"/>
        <v>-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>
      <c r="A49" s="36"/>
      <c r="B49" s="10">
        <f t="shared" si="3"/>
        <v>31</v>
      </c>
      <c r="C49" s="8">
        <f t="shared" si="8"/>
        <v>745383.15486970218</v>
      </c>
      <c r="D49" s="8">
        <f t="shared" si="4"/>
        <v>7453.8315486970223</v>
      </c>
      <c r="E49" s="57">
        <f t="shared" si="5"/>
        <v>28882.190874076463</v>
      </c>
      <c r="F49" s="8">
        <f t="shared" si="6"/>
        <v>723954.7955443227</v>
      </c>
      <c r="G49" s="58">
        <f>'Financial Overview'!$G$8</f>
        <v>-899000</v>
      </c>
      <c r="H49" s="8">
        <f t="shared" si="7"/>
        <v>-29492000</v>
      </c>
      <c r="I49" s="56" t="str">
        <f t="shared" si="2"/>
        <v>-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>
      <c r="A50" s="36"/>
      <c r="B50" s="10">
        <f t="shared" si="3"/>
        <v>32</v>
      </c>
      <c r="C50" s="8">
        <f t="shared" si="8"/>
        <v>723954.7955443227</v>
      </c>
      <c r="D50" s="8">
        <f t="shared" si="4"/>
        <v>7239.5479554432268</v>
      </c>
      <c r="E50" s="57">
        <f t="shared" si="5"/>
        <v>28882.190874076463</v>
      </c>
      <c r="F50" s="8">
        <f t="shared" si="6"/>
        <v>702312.15262568952</v>
      </c>
      <c r="G50" s="58">
        <f>'Financial Overview'!$G$8</f>
        <v>-899000</v>
      </c>
      <c r="H50" s="8">
        <f t="shared" si="7"/>
        <v>-30391000</v>
      </c>
      <c r="I50" s="56" t="str">
        <f t="shared" si="2"/>
        <v>-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customHeight="1">
      <c r="A51" s="36"/>
      <c r="B51" s="10">
        <f t="shared" si="3"/>
        <v>33</v>
      </c>
      <c r="C51" s="8">
        <f t="shared" si="8"/>
        <v>702312.15262568952</v>
      </c>
      <c r="D51" s="8">
        <f t="shared" si="4"/>
        <v>7023.1215262568949</v>
      </c>
      <c r="E51" s="57">
        <f t="shared" si="5"/>
        <v>28882.190874076463</v>
      </c>
      <c r="F51" s="8">
        <f t="shared" si="6"/>
        <v>680453.08327786997</v>
      </c>
      <c r="G51" s="58">
        <f>'Financial Overview'!$G$8</f>
        <v>-899000</v>
      </c>
      <c r="H51" s="8">
        <f t="shared" si="7"/>
        <v>-31290000</v>
      </c>
      <c r="I51" s="56" t="str">
        <f t="shared" si="2"/>
        <v>-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customHeight="1">
      <c r="A52" s="36"/>
      <c r="B52" s="10">
        <f t="shared" si="3"/>
        <v>34</v>
      </c>
      <c r="C52" s="8">
        <f t="shared" si="8"/>
        <v>680453.08327786997</v>
      </c>
      <c r="D52" s="8">
        <f t="shared" si="4"/>
        <v>6804.5308327786997</v>
      </c>
      <c r="E52" s="57">
        <f t="shared" si="5"/>
        <v>28882.190874076463</v>
      </c>
      <c r="F52" s="8">
        <f t="shared" si="6"/>
        <v>658375.42323657218</v>
      </c>
      <c r="G52" s="58">
        <f>'Financial Overview'!$G$8</f>
        <v>-899000</v>
      </c>
      <c r="H52" s="8">
        <f t="shared" si="7"/>
        <v>-32189000</v>
      </c>
      <c r="I52" s="56" t="str">
        <f t="shared" si="2"/>
        <v>-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customHeight="1">
      <c r="A53" s="36"/>
      <c r="B53" s="10">
        <f t="shared" si="3"/>
        <v>35</v>
      </c>
      <c r="C53" s="8">
        <f t="shared" si="8"/>
        <v>658375.42323657218</v>
      </c>
      <c r="D53" s="8">
        <f t="shared" si="4"/>
        <v>6583.7542323657217</v>
      </c>
      <c r="E53" s="57">
        <f t="shared" si="5"/>
        <v>28882.190874076463</v>
      </c>
      <c r="F53" s="8">
        <f t="shared" si="6"/>
        <v>636076.98659486149</v>
      </c>
      <c r="G53" s="58">
        <f>'Financial Overview'!$G$8</f>
        <v>-899000</v>
      </c>
      <c r="H53" s="8">
        <f t="shared" si="7"/>
        <v>-33088000</v>
      </c>
      <c r="I53" s="56" t="str">
        <f t="shared" si="2"/>
        <v>-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customHeight="1">
      <c r="A54" s="36"/>
      <c r="B54" s="149">
        <f t="shared" si="3"/>
        <v>36</v>
      </c>
      <c r="C54" s="208">
        <f t="shared" si="8"/>
        <v>636076.98659486149</v>
      </c>
      <c r="D54" s="208">
        <f t="shared" si="4"/>
        <v>6360.769865948615</v>
      </c>
      <c r="E54" s="209">
        <f t="shared" si="5"/>
        <v>28882.190874076463</v>
      </c>
      <c r="F54" s="208">
        <f t="shared" si="6"/>
        <v>613555.56558673363</v>
      </c>
      <c r="G54" s="210">
        <f>'Financial Overview'!$G$8</f>
        <v>-899000</v>
      </c>
      <c r="H54" s="208">
        <f t="shared" si="7"/>
        <v>-33987000</v>
      </c>
      <c r="I54" s="211" t="str">
        <f t="shared" si="2"/>
        <v>-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customHeight="1">
      <c r="A55" s="36"/>
      <c r="B55" s="10">
        <f t="shared" si="3"/>
        <v>37</v>
      </c>
      <c r="C55" s="8">
        <f t="shared" ref="C55:C78" si="9">F54</f>
        <v>613555.56558673363</v>
      </c>
      <c r="D55" s="8">
        <f t="shared" ref="D55:D78" si="10">C55*($B$14/12)</f>
        <v>6135.5556558673361</v>
      </c>
      <c r="E55" s="57">
        <f t="shared" si="5"/>
        <v>28882.190874076463</v>
      </c>
      <c r="F55" s="8">
        <f t="shared" ref="F55:F78" si="11">C55+D55-E55</f>
        <v>590808.93036852451</v>
      </c>
      <c r="G55" s="59">
        <f>'Financial Overview'!$E$8</f>
        <v>-899000</v>
      </c>
      <c r="H55" s="8">
        <f t="shared" ref="H55:H78" si="12">H54+G55</f>
        <v>-34886000</v>
      </c>
      <c r="I55" s="56" t="str">
        <f t="shared" ref="I55:I78" si="13">IF(AND(H55&lt;0,H56&gt;0),B55+(-H55/G55),"-")</f>
        <v>-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>
      <c r="A56" s="36"/>
      <c r="B56" s="10">
        <f t="shared" si="3"/>
        <v>38</v>
      </c>
      <c r="C56" s="8">
        <f t="shared" si="9"/>
        <v>590808.93036852451</v>
      </c>
      <c r="D56" s="8">
        <f t="shared" si="10"/>
        <v>5908.0893036852449</v>
      </c>
      <c r="E56" s="57">
        <f t="shared" si="5"/>
        <v>28882.190874076463</v>
      </c>
      <c r="F56" s="8">
        <f t="shared" si="11"/>
        <v>567834.8287981333</v>
      </c>
      <c r="G56" s="59">
        <f>'Financial Overview'!$E$8</f>
        <v>-899000</v>
      </c>
      <c r="H56" s="8">
        <f t="shared" si="12"/>
        <v>-35785000</v>
      </c>
      <c r="I56" s="56" t="str">
        <f t="shared" si="13"/>
        <v>-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>
      <c r="A57" s="36"/>
      <c r="B57" s="10">
        <f t="shared" si="3"/>
        <v>39</v>
      </c>
      <c r="C57" s="8">
        <f t="shared" si="9"/>
        <v>567834.8287981333</v>
      </c>
      <c r="D57" s="8">
        <f t="shared" si="10"/>
        <v>5678.3482879813328</v>
      </c>
      <c r="E57" s="57">
        <f t="shared" si="5"/>
        <v>28882.190874076463</v>
      </c>
      <c r="F57" s="8">
        <f t="shared" si="11"/>
        <v>544630.9862120382</v>
      </c>
      <c r="G57" s="59">
        <f>'Financial Overview'!$E$8</f>
        <v>-899000</v>
      </c>
      <c r="H57" s="8">
        <f t="shared" si="12"/>
        <v>-36684000</v>
      </c>
      <c r="I57" s="56" t="str">
        <f t="shared" si="13"/>
        <v>-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>
      <c r="A58" s="36"/>
      <c r="B58" s="10">
        <f t="shared" si="3"/>
        <v>40</v>
      </c>
      <c r="C58" s="8">
        <f t="shared" si="9"/>
        <v>544630.9862120382</v>
      </c>
      <c r="D58" s="8">
        <f t="shared" si="10"/>
        <v>5446.3098621203817</v>
      </c>
      <c r="E58" s="57">
        <f t="shared" si="5"/>
        <v>28882.190874076463</v>
      </c>
      <c r="F58" s="8">
        <f t="shared" si="11"/>
        <v>521195.10520008218</v>
      </c>
      <c r="G58" s="59">
        <f>'Financial Overview'!$E$8</f>
        <v>-899000</v>
      </c>
      <c r="H58" s="8">
        <f t="shared" si="12"/>
        <v>-37583000</v>
      </c>
      <c r="I58" s="56" t="str">
        <f t="shared" si="13"/>
        <v>-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customHeight="1">
      <c r="A59" s="36"/>
      <c r="B59" s="10">
        <f t="shared" si="3"/>
        <v>41</v>
      </c>
      <c r="C59" s="8">
        <f t="shared" si="9"/>
        <v>521195.10520008218</v>
      </c>
      <c r="D59" s="8">
        <f t="shared" si="10"/>
        <v>5211.9510520008216</v>
      </c>
      <c r="E59" s="57">
        <f t="shared" si="5"/>
        <v>28882.190874076463</v>
      </c>
      <c r="F59" s="8">
        <f t="shared" si="11"/>
        <v>497524.86537800659</v>
      </c>
      <c r="G59" s="59">
        <f>'Financial Overview'!$E$8</f>
        <v>-899000</v>
      </c>
      <c r="H59" s="8">
        <f t="shared" si="12"/>
        <v>-38482000</v>
      </c>
      <c r="I59" s="56" t="str">
        <f t="shared" si="13"/>
        <v>-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customHeight="1">
      <c r="A60" s="36"/>
      <c r="B60" s="10">
        <f t="shared" si="3"/>
        <v>42</v>
      </c>
      <c r="C60" s="8">
        <f t="shared" si="9"/>
        <v>497524.86537800659</v>
      </c>
      <c r="D60" s="8">
        <f t="shared" si="10"/>
        <v>4975.248653780066</v>
      </c>
      <c r="E60" s="57">
        <f t="shared" si="5"/>
        <v>28882.190874076463</v>
      </c>
      <c r="F60" s="8">
        <f t="shared" si="11"/>
        <v>473617.92315771023</v>
      </c>
      <c r="G60" s="59">
        <f>'Financial Overview'!$E$8</f>
        <v>-899000</v>
      </c>
      <c r="H60" s="8">
        <f t="shared" si="12"/>
        <v>-39381000</v>
      </c>
      <c r="I60" s="56" t="str">
        <f t="shared" si="13"/>
        <v>-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customHeight="1">
      <c r="A61" s="36"/>
      <c r="B61" s="10">
        <f t="shared" si="3"/>
        <v>43</v>
      </c>
      <c r="C61" s="8">
        <f t="shared" si="9"/>
        <v>473617.92315771023</v>
      </c>
      <c r="D61" s="8">
        <f t="shared" si="10"/>
        <v>4736.1792315771027</v>
      </c>
      <c r="E61" s="57">
        <f t="shared" si="5"/>
        <v>28882.190874076463</v>
      </c>
      <c r="F61" s="8">
        <f t="shared" si="11"/>
        <v>449471.91151521087</v>
      </c>
      <c r="G61" s="59">
        <f>'Financial Overview'!$E$8</f>
        <v>-899000</v>
      </c>
      <c r="H61" s="8">
        <f t="shared" si="12"/>
        <v>-40280000</v>
      </c>
      <c r="I61" s="56" t="str">
        <f t="shared" si="13"/>
        <v>-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>
      <c r="A62" s="36"/>
      <c r="B62" s="10">
        <f t="shared" si="3"/>
        <v>44</v>
      </c>
      <c r="C62" s="8">
        <f t="shared" si="9"/>
        <v>449471.91151521087</v>
      </c>
      <c r="D62" s="8">
        <f t="shared" si="10"/>
        <v>4494.7191151521092</v>
      </c>
      <c r="E62" s="57">
        <f t="shared" si="5"/>
        <v>28882.190874076463</v>
      </c>
      <c r="F62" s="8">
        <f t="shared" si="11"/>
        <v>425084.43975628651</v>
      </c>
      <c r="G62" s="59">
        <f>'Financial Overview'!$E$8</f>
        <v>-899000</v>
      </c>
      <c r="H62" s="8">
        <f t="shared" si="12"/>
        <v>-41179000</v>
      </c>
      <c r="I62" s="56" t="str">
        <f t="shared" si="13"/>
        <v>-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>
      <c r="A63" s="36"/>
      <c r="B63" s="10">
        <f t="shared" si="3"/>
        <v>45</v>
      </c>
      <c r="C63" s="8">
        <f t="shared" si="9"/>
        <v>425084.43975628651</v>
      </c>
      <c r="D63" s="8">
        <f t="shared" si="10"/>
        <v>4250.8443975628652</v>
      </c>
      <c r="E63" s="57">
        <f t="shared" si="5"/>
        <v>28882.190874076463</v>
      </c>
      <c r="F63" s="8">
        <f t="shared" si="11"/>
        <v>400453.0932797729</v>
      </c>
      <c r="G63" s="59">
        <f>'Financial Overview'!$E$8</f>
        <v>-899000</v>
      </c>
      <c r="H63" s="8">
        <f t="shared" si="12"/>
        <v>-42078000</v>
      </c>
      <c r="I63" s="56" t="str">
        <f t="shared" si="13"/>
        <v>-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>
      <c r="A64" s="36"/>
      <c r="B64" s="10">
        <f t="shared" si="3"/>
        <v>46</v>
      </c>
      <c r="C64" s="8">
        <f t="shared" si="9"/>
        <v>400453.0932797729</v>
      </c>
      <c r="D64" s="8">
        <f t="shared" si="10"/>
        <v>4004.5309327977293</v>
      </c>
      <c r="E64" s="57">
        <f t="shared" si="5"/>
        <v>28882.190874076463</v>
      </c>
      <c r="F64" s="8">
        <f t="shared" si="11"/>
        <v>375575.43333849416</v>
      </c>
      <c r="G64" s="59">
        <f>'Financial Overview'!$E$8</f>
        <v>-899000</v>
      </c>
      <c r="H64" s="8">
        <f t="shared" si="12"/>
        <v>-42977000</v>
      </c>
      <c r="I64" s="56" t="str">
        <f t="shared" si="13"/>
        <v>-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>
      <c r="A65" s="36"/>
      <c r="B65" s="10">
        <f t="shared" si="3"/>
        <v>47</v>
      </c>
      <c r="C65" s="8">
        <f t="shared" si="9"/>
        <v>375575.43333849416</v>
      </c>
      <c r="D65" s="8">
        <f t="shared" si="10"/>
        <v>3755.7543333849417</v>
      </c>
      <c r="E65" s="57">
        <f t="shared" si="5"/>
        <v>28882.190874076463</v>
      </c>
      <c r="F65" s="8">
        <f t="shared" si="11"/>
        <v>350448.99679780263</v>
      </c>
      <c r="G65" s="59">
        <f>'Financial Overview'!$E$8</f>
        <v>-899000</v>
      </c>
      <c r="H65" s="8">
        <f t="shared" si="12"/>
        <v>-43876000</v>
      </c>
      <c r="I65" s="56" t="str">
        <f t="shared" si="13"/>
        <v>-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>
      <c r="A66" s="36"/>
      <c r="B66" s="149">
        <f t="shared" si="3"/>
        <v>48</v>
      </c>
      <c r="C66" s="208">
        <f t="shared" si="9"/>
        <v>350448.99679780263</v>
      </c>
      <c r="D66" s="208">
        <f t="shared" si="10"/>
        <v>3504.4899679780265</v>
      </c>
      <c r="E66" s="209">
        <f t="shared" si="5"/>
        <v>28882.190874076463</v>
      </c>
      <c r="F66" s="208">
        <f t="shared" si="11"/>
        <v>325071.29589170421</v>
      </c>
      <c r="G66" s="210">
        <f>'Financial Overview'!$E$8</f>
        <v>-899000</v>
      </c>
      <c r="H66" s="208">
        <f t="shared" si="12"/>
        <v>-44775000</v>
      </c>
      <c r="I66" s="211" t="str">
        <f t="shared" si="13"/>
        <v>-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>
      <c r="A67" s="36"/>
      <c r="B67" s="10">
        <f t="shared" si="3"/>
        <v>49</v>
      </c>
      <c r="C67" s="8">
        <f t="shared" si="9"/>
        <v>325071.29589170421</v>
      </c>
      <c r="D67" s="8">
        <f t="shared" si="10"/>
        <v>3250.7129589170422</v>
      </c>
      <c r="E67" s="57">
        <f t="shared" si="5"/>
        <v>28882.190874076463</v>
      </c>
      <c r="F67" s="8">
        <f t="shared" si="11"/>
        <v>299439.81797654479</v>
      </c>
      <c r="G67" s="58">
        <f>'Financial Overview'!$G$8</f>
        <v>-899000</v>
      </c>
      <c r="H67" s="8">
        <f t="shared" si="12"/>
        <v>-45674000</v>
      </c>
      <c r="I67" s="56" t="str">
        <f t="shared" si="13"/>
        <v>-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>
      <c r="A68" s="36"/>
      <c r="B68" s="10">
        <f t="shared" si="3"/>
        <v>50</v>
      </c>
      <c r="C68" s="8">
        <f t="shared" si="9"/>
        <v>299439.81797654479</v>
      </c>
      <c r="D68" s="8">
        <f t="shared" si="10"/>
        <v>2994.3981797654478</v>
      </c>
      <c r="E68" s="57">
        <f t="shared" si="5"/>
        <v>28882.190874076463</v>
      </c>
      <c r="F68" s="8">
        <f t="shared" si="11"/>
        <v>273552.02528223378</v>
      </c>
      <c r="G68" s="58">
        <f>'Financial Overview'!$G$8</f>
        <v>-899000</v>
      </c>
      <c r="H68" s="8">
        <f t="shared" si="12"/>
        <v>-46573000</v>
      </c>
      <c r="I68" s="56" t="str">
        <f t="shared" si="13"/>
        <v>-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>
      <c r="A69" s="36"/>
      <c r="B69" s="10">
        <f t="shared" si="3"/>
        <v>51</v>
      </c>
      <c r="C69" s="8">
        <f t="shared" si="9"/>
        <v>273552.02528223378</v>
      </c>
      <c r="D69" s="8">
        <f t="shared" si="10"/>
        <v>2735.5202528223376</v>
      </c>
      <c r="E69" s="57">
        <f t="shared" si="5"/>
        <v>28882.190874076463</v>
      </c>
      <c r="F69" s="8">
        <f t="shared" si="11"/>
        <v>247405.35466097965</v>
      </c>
      <c r="G69" s="58">
        <f>'Financial Overview'!$G$8</f>
        <v>-899000</v>
      </c>
      <c r="H69" s="8">
        <f t="shared" si="12"/>
        <v>-47472000</v>
      </c>
      <c r="I69" s="56" t="str">
        <f t="shared" si="13"/>
        <v>-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>
      <c r="A70" s="36"/>
      <c r="B70" s="10">
        <f t="shared" si="3"/>
        <v>52</v>
      </c>
      <c r="C70" s="8">
        <f t="shared" si="9"/>
        <v>247405.35466097965</v>
      </c>
      <c r="D70" s="8">
        <f t="shared" si="10"/>
        <v>2474.0535466097967</v>
      </c>
      <c r="E70" s="57">
        <f t="shared" si="5"/>
        <v>28882.190874076463</v>
      </c>
      <c r="F70" s="8">
        <f t="shared" si="11"/>
        <v>220997.21733351296</v>
      </c>
      <c r="G70" s="58">
        <f>'Financial Overview'!$G$8</f>
        <v>-899000</v>
      </c>
      <c r="H70" s="8">
        <f t="shared" si="12"/>
        <v>-48371000</v>
      </c>
      <c r="I70" s="56" t="str">
        <f t="shared" si="13"/>
        <v>-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>
      <c r="A71" s="36"/>
      <c r="B71" s="10">
        <f t="shared" si="3"/>
        <v>53</v>
      </c>
      <c r="C71" s="8">
        <f t="shared" si="9"/>
        <v>220997.21733351296</v>
      </c>
      <c r="D71" s="8">
        <f t="shared" si="10"/>
        <v>2209.9721733351298</v>
      </c>
      <c r="E71" s="57">
        <f t="shared" si="5"/>
        <v>28882.190874076463</v>
      </c>
      <c r="F71" s="8">
        <f t="shared" si="11"/>
        <v>194324.9986327716</v>
      </c>
      <c r="G71" s="58">
        <f>'Financial Overview'!$G$8</f>
        <v>-899000</v>
      </c>
      <c r="H71" s="8">
        <f t="shared" si="12"/>
        <v>-49270000</v>
      </c>
      <c r="I71" s="56" t="str">
        <f t="shared" si="13"/>
        <v>-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>
      <c r="A72" s="36"/>
      <c r="B72" s="10">
        <f t="shared" si="3"/>
        <v>54</v>
      </c>
      <c r="C72" s="8">
        <f t="shared" si="9"/>
        <v>194324.9986327716</v>
      </c>
      <c r="D72" s="8">
        <f t="shared" si="10"/>
        <v>1943.249986327716</v>
      </c>
      <c r="E72" s="57">
        <f t="shared" si="5"/>
        <v>28882.190874076463</v>
      </c>
      <c r="F72" s="8">
        <f t="shared" si="11"/>
        <v>167386.05774502287</v>
      </c>
      <c r="G72" s="58">
        <f>'Financial Overview'!$G$8</f>
        <v>-899000</v>
      </c>
      <c r="H72" s="8">
        <f t="shared" si="12"/>
        <v>-50169000</v>
      </c>
      <c r="I72" s="56" t="str">
        <f t="shared" si="13"/>
        <v>-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>
      <c r="A73" s="36"/>
      <c r="B73" s="10">
        <f t="shared" si="3"/>
        <v>55</v>
      </c>
      <c r="C73" s="8">
        <f t="shared" si="9"/>
        <v>167386.05774502287</v>
      </c>
      <c r="D73" s="8">
        <f t="shared" si="10"/>
        <v>1673.8605774502287</v>
      </c>
      <c r="E73" s="57">
        <f t="shared" si="5"/>
        <v>28882.190874076463</v>
      </c>
      <c r="F73" s="8">
        <f t="shared" si="11"/>
        <v>140177.72744839662</v>
      </c>
      <c r="G73" s="58">
        <f>'Financial Overview'!$G$8</f>
        <v>-899000</v>
      </c>
      <c r="H73" s="8">
        <f t="shared" si="12"/>
        <v>-51068000</v>
      </c>
      <c r="I73" s="56" t="str">
        <f t="shared" si="13"/>
        <v>-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>
      <c r="A74" s="36"/>
      <c r="B74" s="10">
        <f t="shared" si="3"/>
        <v>56</v>
      </c>
      <c r="C74" s="8">
        <f t="shared" si="9"/>
        <v>140177.72744839662</v>
      </c>
      <c r="D74" s="8">
        <f t="shared" si="10"/>
        <v>1401.7772744839663</v>
      </c>
      <c r="E74" s="57">
        <f t="shared" si="5"/>
        <v>28882.190874076463</v>
      </c>
      <c r="F74" s="8">
        <f t="shared" si="11"/>
        <v>112697.31384880411</v>
      </c>
      <c r="G74" s="58">
        <f>'Financial Overview'!$G$8</f>
        <v>-899000</v>
      </c>
      <c r="H74" s="8">
        <f t="shared" si="12"/>
        <v>-51967000</v>
      </c>
      <c r="I74" s="56" t="str">
        <f t="shared" si="13"/>
        <v>-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>
      <c r="A75" s="36"/>
      <c r="B75" s="10">
        <f t="shared" si="3"/>
        <v>57</v>
      </c>
      <c r="C75" s="8">
        <f t="shared" si="9"/>
        <v>112697.31384880411</v>
      </c>
      <c r="D75" s="8">
        <f t="shared" si="10"/>
        <v>1126.9731384880413</v>
      </c>
      <c r="E75" s="57">
        <f t="shared" si="5"/>
        <v>28882.190874076463</v>
      </c>
      <c r="F75" s="8">
        <f t="shared" si="11"/>
        <v>84942.096113215695</v>
      </c>
      <c r="G75" s="58">
        <f>'Financial Overview'!$G$8</f>
        <v>-899000</v>
      </c>
      <c r="H75" s="8">
        <f t="shared" si="12"/>
        <v>-52866000</v>
      </c>
      <c r="I75" s="56" t="str">
        <f t="shared" si="13"/>
        <v>-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>
      <c r="A76" s="36"/>
      <c r="B76" s="10">
        <f t="shared" si="3"/>
        <v>58</v>
      </c>
      <c r="C76" s="8">
        <f t="shared" si="9"/>
        <v>84942.096113215695</v>
      </c>
      <c r="D76" s="8">
        <f t="shared" si="10"/>
        <v>849.420961132157</v>
      </c>
      <c r="E76" s="57">
        <f t="shared" si="5"/>
        <v>28882.190874076463</v>
      </c>
      <c r="F76" s="8">
        <f t="shared" si="11"/>
        <v>56909.326200271389</v>
      </c>
      <c r="G76" s="58">
        <f>'Financial Overview'!$G$8</f>
        <v>-899000</v>
      </c>
      <c r="H76" s="8">
        <f t="shared" si="12"/>
        <v>-53765000</v>
      </c>
      <c r="I76" s="56" t="str">
        <f t="shared" si="13"/>
        <v>-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>
      <c r="A77" s="36"/>
      <c r="B77" s="10">
        <f t="shared" si="3"/>
        <v>59</v>
      </c>
      <c r="C77" s="8">
        <f t="shared" si="9"/>
        <v>56909.326200271389</v>
      </c>
      <c r="D77" s="8">
        <f t="shared" si="10"/>
        <v>569.09326200271391</v>
      </c>
      <c r="E77" s="57">
        <f t="shared" si="5"/>
        <v>28882.190874076463</v>
      </c>
      <c r="F77" s="8">
        <f t="shared" si="11"/>
        <v>28596.228588197642</v>
      </c>
      <c r="G77" s="58">
        <f>'Financial Overview'!$G$8</f>
        <v>-899000</v>
      </c>
      <c r="H77" s="8">
        <f t="shared" si="12"/>
        <v>-54664000</v>
      </c>
      <c r="I77" s="56" t="str">
        <f t="shared" si="13"/>
        <v>-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>
      <c r="A78" s="36"/>
      <c r="B78" s="149">
        <f t="shared" si="3"/>
        <v>60</v>
      </c>
      <c r="C78" s="208">
        <f t="shared" si="9"/>
        <v>28596.228588197642</v>
      </c>
      <c r="D78" s="208">
        <f t="shared" si="10"/>
        <v>285.96228588197641</v>
      </c>
      <c r="E78" s="209">
        <f t="shared" si="5"/>
        <v>28882.190874076463</v>
      </c>
      <c r="F78" s="208">
        <f t="shared" si="11"/>
        <v>3.1541276257485151E-9</v>
      </c>
      <c r="G78" s="210">
        <f>'Financial Overview'!$G$8</f>
        <v>-899000</v>
      </c>
      <c r="H78" s="208">
        <f t="shared" si="12"/>
        <v>-55563000</v>
      </c>
      <c r="I78" s="211" t="str">
        <f t="shared" si="13"/>
        <v>-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>
      <c r="A79" s="36"/>
      <c r="B79" s="1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>
      <c r="A80" s="36"/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>
      <c r="A81" s="36"/>
      <c r="B81" s="1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>
      <c r="A82" s="36"/>
      <c r="B82" s="1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>
      <c r="A83" s="36"/>
      <c r="B83" s="1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>
      <c r="A84" s="36"/>
      <c r="B84" s="1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>
      <c r="A85" s="36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>
      <c r="A86" s="3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>
      <c r="A87" s="3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>
      <c r="A88" s="3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>
      <c r="A89" s="3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>
      <c r="A90" s="3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>
      <c r="A91" s="3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>
      <c r="A92" s="3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>
      <c r="A93" s="3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>
      <c r="A94" s="3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>
      <c r="A95" s="3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>
      <c r="A96" s="3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>
      <c r="A97" s="3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>
      <c r="A98" s="3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>
      <c r="A99" s="3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>
      <c r="A100" s="3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>
      <c r="A101" s="3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>
      <c r="A102" s="3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>
      <c r="A103" s="3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>
      <c r="A104" s="3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>
      <c r="A105" s="3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>
      <c r="A106" s="3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>
      <c r="A107" s="3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>
      <c r="A108" s="3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>
      <c r="A109" s="3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>
      <c r="A110" s="3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>
      <c r="A111" s="3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>
      <c r="A112" s="3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>
      <c r="A113" s="3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>
      <c r="A114" s="3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>
      <c r="A115" s="3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>
      <c r="A116" s="3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>
      <c r="A117" s="3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>
      <c r="A118" s="3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>
      <c r="A119" s="3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>
      <c r="A120" s="3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>
      <c r="A121" s="3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>
      <c r="A122" s="3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>
      <c r="A123" s="3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>
      <c r="A124" s="3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>
      <c r="A125" s="3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>
      <c r="A126" s="3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>
      <c r="A127" s="3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>
      <c r="A128" s="3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>
      <c r="A129" s="3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>
      <c r="A130" s="3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>
      <c r="A131" s="3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>
      <c r="A132" s="3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>
      <c r="A133" s="36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>
      <c r="A134" s="36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>
      <c r="A135" s="36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>
      <c r="A136" s="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>
      <c r="A137" s="36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>
      <c r="A138" s="36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>
      <c r="A139" s="36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>
      <c r="A140" s="36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>
      <c r="A141" s="3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>
      <c r="A142" s="3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>
      <c r="A143" s="36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>
      <c r="A144" s="3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>
      <c r="A145" s="3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>
      <c r="A146" s="3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>
      <c r="A147" s="3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>
      <c r="A148" s="36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>
      <c r="A149" s="36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>
      <c r="A150" s="36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>
      <c r="A151" s="3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>
      <c r="A152" s="36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>
      <c r="A153" s="36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>
      <c r="A154" s="36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>
      <c r="A155" s="36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>
      <c r="A156" s="3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>
      <c r="A157" s="36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>
      <c r="A158" s="36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>
      <c r="A159" s="3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>
      <c r="A160" s="3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>
      <c r="A161" s="3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>
      <c r="A162" s="3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>
      <c r="A163" s="3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>
      <c r="A164" s="3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>
      <c r="A165" s="3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>
      <c r="A166" s="3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>
      <c r="A167" s="3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>
      <c r="A168" s="3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>
      <c r="A169" s="3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>
      <c r="A170" s="3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>
      <c r="A171" s="3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>
      <c r="A172" s="3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>
      <c r="A173" s="3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>
      <c r="A174" s="3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>
      <c r="A175" s="3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>
      <c r="A176" s="3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>
      <c r="A177" s="3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>
      <c r="A178" s="3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>
      <c r="A179" s="3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>
      <c r="A180" s="3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>
      <c r="A181" s="36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>
      <c r="A182" s="3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>
      <c r="A183" s="3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>
      <c r="A184" s="3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>
      <c r="A185" s="3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>
      <c r="A186" s="3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>
      <c r="A187" s="3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>
      <c r="A188" s="3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>
      <c r="A189" s="3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>
      <c r="A190" s="3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>
      <c r="A191" s="36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>
      <c r="A192" s="36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>
      <c r="A193" s="3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>
      <c r="A194" s="36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>
      <c r="A195" s="36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>
      <c r="A196" s="36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>
      <c r="A197" s="36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>
      <c r="A198" s="36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>
      <c r="A199" s="36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>
      <c r="A200" s="36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>
      <c r="A201" s="36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>
      <c r="A202" s="36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>
      <c r="A203" s="36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>
      <c r="A204" s="36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>
      <c r="A205" s="36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>
      <c r="A206" s="3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>
      <c r="A207" s="3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>
      <c r="A208" s="3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>
      <c r="A209" s="3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>
      <c r="A210" s="3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>
      <c r="A211" s="3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>
      <c r="A212" s="3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>
      <c r="A213" s="3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>
      <c r="A214" s="3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>
      <c r="A215" s="3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>
      <c r="A216" s="3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>
      <c r="A217" s="3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>
      <c r="A218" s="3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>
      <c r="A219" s="3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>
      <c r="A220" s="3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>
      <c r="A221" s="3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>
      <c r="A222" s="3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>
      <c r="A223" s="3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>
      <c r="A224" s="3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>
      <c r="A225" s="3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>
      <c r="A226" s="3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>
      <c r="A227" s="3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>
      <c r="A228" s="3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>
      <c r="A229" s="3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>
      <c r="A230" s="3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>
      <c r="A231" s="36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>
      <c r="A232" s="36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>
      <c r="A233" s="36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>
      <c r="A234" s="36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>
      <c r="A235" s="36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>
      <c r="A236" s="36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>
      <c r="A237" s="36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>
      <c r="A238" s="36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>
      <c r="A239" s="36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>
      <c r="A240" s="36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>
      <c r="A241" s="36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>
      <c r="A242" s="3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>
      <c r="A243" s="3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>
      <c r="A244" s="3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>
      <c r="A245" s="3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>
      <c r="A246" s="3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>
      <c r="A247" s="3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>
      <c r="A248" s="3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>
      <c r="A249" s="3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>
      <c r="A250" s="3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>
      <c r="A251" s="3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>
      <c r="A252" s="3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>
      <c r="A253" s="3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>
      <c r="A254" s="3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>
      <c r="A255" s="3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>
      <c r="A256" s="3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>
      <c r="A257" s="3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>
      <c r="A258" s="3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>
      <c r="A259" s="3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>
      <c r="A260" s="3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>
      <c r="A261" s="3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>
      <c r="A262" s="3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>
      <c r="A263" s="3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>
      <c r="A264" s="3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>
      <c r="A265" s="3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>
      <c r="A266" s="36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>
      <c r="A267" s="36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>
      <c r="A268" s="36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>
      <c r="A269" s="3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>
      <c r="A270" s="36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>
      <c r="A271" s="3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>
      <c r="A272" s="36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>
      <c r="A273" s="36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>
      <c r="A274" s="3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>
      <c r="A275" s="36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>
      <c r="A276" s="36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>
      <c r="A277" s="36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>
      <c r="A278" s="36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</row>
    <row r="280" spans="1:27" ht="15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</row>
    <row r="281" spans="1:27" ht="15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</row>
    <row r="282" spans="1:27" ht="15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</row>
    <row r="283" spans="1:27" ht="15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</row>
    <row r="284" spans="1:27" ht="15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</row>
    <row r="285" spans="1:27" ht="15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</row>
    <row r="286" spans="1:27" ht="15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</row>
    <row r="287" spans="1:27" ht="15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</row>
    <row r="288" spans="1:27" ht="15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</row>
    <row r="289" spans="1:27" ht="15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</row>
    <row r="290" spans="1:27" ht="15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</row>
    <row r="291" spans="1:27" ht="15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</row>
    <row r="292" spans="1:27" ht="15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</row>
    <row r="293" spans="1:27" ht="15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</row>
    <row r="294" spans="1:27" ht="15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</row>
    <row r="295" spans="1:27" ht="15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</row>
    <row r="296" spans="1:27" ht="15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</row>
    <row r="297" spans="1:27" ht="15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</row>
    <row r="298" spans="1:27" ht="15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</row>
    <row r="299" spans="1:27" ht="15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</row>
    <row r="300" spans="1:27" ht="15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</row>
    <row r="301" spans="1:27" ht="15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</row>
    <row r="302" spans="1:27" ht="15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</row>
    <row r="303" spans="1:27" ht="15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</row>
    <row r="304" spans="1:27" ht="15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</row>
    <row r="305" spans="1:27" ht="15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</row>
    <row r="306" spans="1:27" ht="15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</row>
    <row r="307" spans="1:27" ht="15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</row>
    <row r="308" spans="1:27" ht="15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</row>
    <row r="309" spans="1:27" ht="15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</row>
    <row r="310" spans="1:27" ht="15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</row>
    <row r="311" spans="1:27" ht="15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</row>
    <row r="312" spans="1:27" ht="15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</row>
    <row r="313" spans="1:27" ht="15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</row>
    <row r="314" spans="1:27" ht="15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</row>
    <row r="315" spans="1:27" ht="15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</row>
    <row r="316" spans="1:27" ht="15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</row>
    <row r="317" spans="1:27" ht="15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</row>
    <row r="318" spans="1:27" ht="15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</row>
    <row r="319" spans="1:27" ht="15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</row>
    <row r="320" spans="1:27" ht="15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</row>
    <row r="321" spans="1:27" ht="15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</row>
    <row r="322" spans="1:27" ht="15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</row>
    <row r="323" spans="1:27" ht="15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</row>
    <row r="324" spans="1:27" ht="15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</row>
    <row r="325" spans="1:27" ht="15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</row>
    <row r="326" spans="1:27" ht="15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</row>
    <row r="327" spans="1:27" ht="15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</row>
    <row r="328" spans="1:27" ht="15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</row>
    <row r="329" spans="1:27" ht="15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</row>
    <row r="330" spans="1:27" ht="15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</row>
    <row r="331" spans="1:27" ht="15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</row>
    <row r="332" spans="1:27" ht="15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</row>
    <row r="333" spans="1:27" ht="15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</row>
    <row r="334" spans="1:27" ht="15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</row>
    <row r="335" spans="1:27" ht="15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</row>
    <row r="336" spans="1:27" ht="15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</row>
    <row r="337" spans="1:27" ht="15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</row>
    <row r="338" spans="1:27" ht="15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</row>
    <row r="339" spans="1:27" ht="15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</row>
    <row r="340" spans="1:27" ht="15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</row>
    <row r="341" spans="1:27" ht="15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</row>
    <row r="342" spans="1:27" ht="15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</row>
    <row r="343" spans="1:27" ht="15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</row>
    <row r="344" spans="1:27" ht="15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</row>
    <row r="345" spans="1:27" ht="15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</row>
    <row r="346" spans="1:27" ht="15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</row>
    <row r="347" spans="1:27" ht="15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</row>
    <row r="348" spans="1:27" ht="15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</row>
    <row r="349" spans="1:27" ht="15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</row>
    <row r="350" spans="1:27" ht="15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</row>
    <row r="351" spans="1:27" ht="15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</row>
    <row r="352" spans="1:27" ht="15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</row>
    <row r="353" spans="1:27" ht="15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</row>
    <row r="354" spans="1:27" ht="15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</row>
    <row r="355" spans="1:27" ht="15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</row>
    <row r="356" spans="1:27" ht="15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</row>
    <row r="357" spans="1:27" ht="15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</row>
    <row r="358" spans="1:27" ht="15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</row>
    <row r="359" spans="1:27" ht="15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</row>
    <row r="360" spans="1:27" ht="15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</row>
    <row r="361" spans="1:27" ht="15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</row>
    <row r="362" spans="1:27" ht="15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</row>
    <row r="363" spans="1:27" ht="15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</row>
    <row r="364" spans="1:27" ht="15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</row>
    <row r="365" spans="1:27" ht="15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</row>
    <row r="366" spans="1:27" ht="15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</row>
    <row r="367" spans="1:27" ht="15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</row>
    <row r="368" spans="1:27" ht="15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</row>
    <row r="369" spans="1:27" ht="15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</row>
    <row r="370" spans="1:27" ht="15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</row>
    <row r="371" spans="1:27" ht="15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</row>
    <row r="372" spans="1:27" ht="15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</row>
    <row r="373" spans="1:27" ht="15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</row>
    <row r="374" spans="1:27" ht="15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</row>
    <row r="375" spans="1:27" ht="15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</row>
    <row r="376" spans="1:27" ht="15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</row>
    <row r="377" spans="1:27" ht="15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</row>
    <row r="378" spans="1:27" ht="15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</row>
    <row r="379" spans="1:27" ht="15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</row>
    <row r="380" spans="1:27" ht="15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</row>
    <row r="381" spans="1:27" ht="15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</row>
    <row r="382" spans="1:27" ht="15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</row>
    <row r="383" spans="1:27" ht="15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</row>
    <row r="384" spans="1:27" ht="15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</row>
    <row r="385" spans="1:27" ht="15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</row>
    <row r="386" spans="1:27" ht="15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</row>
    <row r="387" spans="1:27" ht="15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</row>
    <row r="388" spans="1:27" ht="15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</row>
    <row r="389" spans="1:27" ht="15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</row>
    <row r="390" spans="1:27" ht="15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</row>
    <row r="391" spans="1:27" ht="15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</row>
    <row r="392" spans="1:27" ht="15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</row>
    <row r="393" spans="1:27" ht="15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</row>
    <row r="394" spans="1:27" ht="15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</row>
    <row r="395" spans="1:27" ht="15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</row>
    <row r="396" spans="1:27" ht="15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</row>
    <row r="397" spans="1:27" ht="15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</row>
    <row r="398" spans="1:27" ht="15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</row>
    <row r="399" spans="1:27" ht="15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</row>
    <row r="400" spans="1:27" ht="15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</row>
    <row r="401" spans="1:27" ht="15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</row>
    <row r="402" spans="1:27" ht="15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</row>
    <row r="403" spans="1:27" ht="15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</row>
    <row r="404" spans="1:27" ht="15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</row>
    <row r="405" spans="1:27" ht="15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</row>
    <row r="406" spans="1:27" ht="15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</row>
    <row r="407" spans="1:27" ht="15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</row>
    <row r="408" spans="1:27" ht="15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</row>
    <row r="409" spans="1:27" ht="15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</row>
    <row r="410" spans="1:27" ht="15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</row>
    <row r="411" spans="1:27" ht="15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</row>
    <row r="412" spans="1:27" ht="15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</row>
    <row r="413" spans="1:27" ht="15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</row>
    <row r="414" spans="1:27" ht="15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</row>
    <row r="415" spans="1:27" ht="15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</row>
    <row r="416" spans="1:27" ht="15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</row>
    <row r="417" spans="1:27" ht="15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</row>
    <row r="418" spans="1:27" ht="15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</row>
    <row r="419" spans="1:27" ht="15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</row>
    <row r="420" spans="1:27" ht="15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</row>
    <row r="421" spans="1:27" ht="15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</row>
    <row r="422" spans="1:27" ht="15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</row>
    <row r="423" spans="1:27" ht="15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</row>
    <row r="424" spans="1:27" ht="15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</row>
    <row r="425" spans="1:27" ht="15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</row>
    <row r="426" spans="1:27" ht="15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</row>
    <row r="427" spans="1:27" ht="15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</row>
    <row r="428" spans="1:27" ht="15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</row>
    <row r="429" spans="1:27" ht="15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</row>
    <row r="430" spans="1:27" ht="15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</row>
    <row r="431" spans="1:27" ht="15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</row>
    <row r="432" spans="1:27" ht="15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</row>
    <row r="433" spans="1:27" ht="15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</row>
    <row r="434" spans="1:27" ht="15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</row>
    <row r="435" spans="1:27" ht="15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</row>
    <row r="436" spans="1:27" ht="15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</row>
    <row r="437" spans="1:27" ht="15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</row>
    <row r="438" spans="1:27" ht="15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</row>
    <row r="439" spans="1:27" ht="15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</row>
    <row r="440" spans="1:27" ht="15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</row>
    <row r="441" spans="1:27" ht="15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</row>
    <row r="442" spans="1:27" ht="15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</row>
    <row r="443" spans="1:27" ht="15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</row>
    <row r="444" spans="1:27" ht="15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</row>
    <row r="445" spans="1:27" ht="15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</row>
    <row r="446" spans="1:27" ht="15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</row>
    <row r="447" spans="1:27" ht="15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</row>
    <row r="448" spans="1:27" ht="15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</row>
    <row r="449" spans="1:27" ht="15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</row>
    <row r="450" spans="1:27" ht="15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</row>
    <row r="451" spans="1:27" ht="15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</row>
    <row r="452" spans="1:27" ht="15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</row>
    <row r="453" spans="1:27" ht="15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</row>
    <row r="454" spans="1:27" ht="15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</row>
    <row r="455" spans="1:27" ht="15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</row>
    <row r="456" spans="1:27" ht="15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</row>
    <row r="457" spans="1:27" ht="15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</row>
    <row r="458" spans="1:27" ht="15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</row>
    <row r="459" spans="1:27" ht="15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</row>
    <row r="460" spans="1:27" ht="15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</row>
    <row r="461" spans="1:27" ht="15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</row>
    <row r="462" spans="1:27" ht="15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</row>
    <row r="463" spans="1:27" ht="15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</row>
    <row r="464" spans="1:27" ht="15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</row>
    <row r="465" spans="1:27" ht="15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</row>
    <row r="466" spans="1:27" ht="15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</row>
    <row r="467" spans="1:27" ht="15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</row>
    <row r="468" spans="1:27" ht="15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</row>
    <row r="469" spans="1:27" ht="15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</row>
    <row r="470" spans="1:27" ht="15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</row>
    <row r="471" spans="1:27" ht="15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</row>
    <row r="472" spans="1:27" ht="15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</row>
    <row r="473" spans="1:27" ht="15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</row>
    <row r="474" spans="1:27" ht="15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</row>
    <row r="475" spans="1:27" ht="15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</row>
    <row r="476" spans="1:27" ht="15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</row>
    <row r="477" spans="1:27" ht="15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</row>
    <row r="478" spans="1:27" ht="15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</row>
    <row r="479" spans="1:27" ht="15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</row>
    <row r="480" spans="1:27" ht="15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</row>
    <row r="481" spans="1:27" ht="15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</row>
    <row r="482" spans="1:27" ht="15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</row>
    <row r="483" spans="1:27" ht="15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</row>
    <row r="484" spans="1:27" ht="15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</row>
    <row r="485" spans="1:27" ht="15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</row>
    <row r="486" spans="1:27" ht="15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</row>
    <row r="487" spans="1:27" ht="15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</row>
    <row r="488" spans="1:27" ht="15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</row>
    <row r="489" spans="1:27" ht="15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</row>
    <row r="490" spans="1:27" ht="15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</row>
    <row r="491" spans="1:27" ht="15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</row>
    <row r="492" spans="1:27" ht="15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</row>
    <row r="493" spans="1:27" ht="15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</row>
    <row r="494" spans="1:27" ht="15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</row>
    <row r="495" spans="1:27" ht="15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</row>
    <row r="496" spans="1:27" ht="15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</row>
    <row r="497" spans="1:27" ht="15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</row>
    <row r="498" spans="1:27" ht="15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</row>
    <row r="499" spans="1:27" ht="15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</row>
    <row r="500" spans="1:27" ht="15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</row>
    <row r="501" spans="1:27" ht="15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</row>
    <row r="502" spans="1:27" ht="15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</row>
    <row r="503" spans="1:27" ht="15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</row>
    <row r="504" spans="1:27" ht="15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</row>
    <row r="505" spans="1:27" ht="15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</row>
    <row r="506" spans="1:27" ht="15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</row>
    <row r="507" spans="1:27" ht="15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</row>
    <row r="508" spans="1:27" ht="15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</row>
    <row r="509" spans="1:27" ht="15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</row>
    <row r="510" spans="1:27" ht="15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</row>
    <row r="511" spans="1:27" ht="15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</row>
    <row r="512" spans="1:27" ht="15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</row>
    <row r="513" spans="1:27" ht="15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</row>
    <row r="514" spans="1:27" ht="15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</row>
    <row r="515" spans="1:27" ht="15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</row>
    <row r="516" spans="1:27" ht="15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</row>
    <row r="517" spans="1:27" ht="15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</row>
    <row r="518" spans="1:27" ht="15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</row>
    <row r="519" spans="1:27" ht="15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</row>
    <row r="520" spans="1:27" ht="15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</row>
    <row r="521" spans="1:27" ht="15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</row>
    <row r="522" spans="1:27" ht="15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</row>
    <row r="523" spans="1:27" ht="15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</row>
    <row r="524" spans="1:27" ht="15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</row>
    <row r="525" spans="1:27" ht="15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</row>
    <row r="526" spans="1:27" ht="15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</row>
    <row r="527" spans="1:27" ht="15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</row>
    <row r="528" spans="1:27" ht="15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</row>
    <row r="529" spans="1:27" ht="15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</row>
    <row r="530" spans="1:27" ht="15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</row>
    <row r="531" spans="1:27" ht="15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</row>
    <row r="532" spans="1:27" ht="15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</row>
    <row r="533" spans="1:27" ht="15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</row>
    <row r="534" spans="1:27" ht="15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</row>
    <row r="535" spans="1:27" ht="15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</row>
    <row r="536" spans="1:27" ht="15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</row>
    <row r="537" spans="1:27" ht="15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</row>
    <row r="538" spans="1:27" ht="15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</row>
    <row r="539" spans="1:27" ht="15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</row>
    <row r="540" spans="1:27" ht="15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</row>
    <row r="541" spans="1:27" ht="15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</row>
    <row r="542" spans="1:27" ht="15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</row>
    <row r="543" spans="1:27" ht="15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</row>
    <row r="544" spans="1:27" ht="15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</row>
    <row r="545" spans="1:27" ht="15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</row>
    <row r="546" spans="1:27" ht="15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</row>
    <row r="547" spans="1:27" ht="15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</row>
    <row r="548" spans="1:27" ht="15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</row>
    <row r="549" spans="1:27" ht="15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</row>
    <row r="550" spans="1:27" ht="15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</row>
    <row r="551" spans="1:27" ht="15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</row>
    <row r="552" spans="1:27" ht="15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</row>
    <row r="553" spans="1:27" ht="15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</row>
    <row r="554" spans="1:27" ht="15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</row>
    <row r="555" spans="1:27" ht="15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</row>
    <row r="556" spans="1:27" ht="15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</row>
    <row r="557" spans="1:27" ht="15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</row>
    <row r="558" spans="1:27" ht="15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</row>
    <row r="559" spans="1:27" ht="15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</row>
    <row r="560" spans="1:27" ht="15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</row>
    <row r="561" spans="1:27" ht="15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</row>
    <row r="562" spans="1:27" ht="15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</row>
    <row r="563" spans="1:27" ht="15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</row>
    <row r="564" spans="1:27" ht="15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</row>
    <row r="565" spans="1:27" ht="15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</row>
    <row r="566" spans="1:27" ht="15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</row>
    <row r="567" spans="1:27" ht="15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</row>
    <row r="568" spans="1:27" ht="15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</row>
    <row r="569" spans="1:27" ht="15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</row>
    <row r="570" spans="1:27" ht="15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</row>
    <row r="571" spans="1:27" ht="15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</row>
    <row r="572" spans="1:27" ht="15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</row>
    <row r="573" spans="1:27" ht="15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</row>
    <row r="574" spans="1:27" ht="15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</row>
    <row r="575" spans="1:27" ht="15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</row>
    <row r="576" spans="1:27" ht="15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</row>
    <row r="577" spans="1:27" ht="15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</row>
    <row r="578" spans="1:27" ht="15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</row>
    <row r="579" spans="1:27" ht="15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</row>
    <row r="580" spans="1:27" ht="15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</row>
    <row r="581" spans="1:27" ht="15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</row>
    <row r="582" spans="1:27" ht="15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</row>
    <row r="583" spans="1:27" ht="15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</row>
    <row r="584" spans="1:27" ht="15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</row>
    <row r="585" spans="1:27" ht="15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</row>
    <row r="586" spans="1:27" ht="15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</row>
    <row r="587" spans="1:27" ht="15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</row>
    <row r="588" spans="1:27" ht="15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</row>
    <row r="589" spans="1:27" ht="15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</row>
    <row r="590" spans="1:27" ht="15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</row>
    <row r="591" spans="1:27" ht="15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</row>
    <row r="592" spans="1:27" ht="15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</row>
    <row r="593" spans="1:27" ht="15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</row>
    <row r="594" spans="1:27" ht="15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</row>
    <row r="595" spans="1:27" ht="15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</row>
    <row r="596" spans="1:27" ht="15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</row>
    <row r="597" spans="1:27" ht="15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</row>
    <row r="598" spans="1:27" ht="15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</row>
    <row r="599" spans="1:27" ht="15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</row>
    <row r="600" spans="1:27" ht="15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</row>
    <row r="601" spans="1:27" ht="15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</row>
    <row r="602" spans="1:27" ht="15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</row>
    <row r="603" spans="1:27" ht="15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</row>
    <row r="604" spans="1:27" ht="15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</row>
    <row r="605" spans="1:27" ht="15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</row>
    <row r="606" spans="1:27" ht="15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</row>
    <row r="607" spans="1:27" ht="15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</row>
    <row r="608" spans="1:27" ht="15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</row>
    <row r="609" spans="1:27" ht="15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</row>
    <row r="610" spans="1:27" ht="15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</row>
    <row r="611" spans="1:27" ht="15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</row>
    <row r="612" spans="1:27" ht="15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</row>
    <row r="613" spans="1:27" ht="15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</row>
    <row r="614" spans="1:27" ht="15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</row>
    <row r="615" spans="1:27" ht="15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</row>
    <row r="616" spans="1:27" ht="15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</row>
    <row r="617" spans="1:27" ht="15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</row>
    <row r="618" spans="1:27" ht="15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</row>
    <row r="619" spans="1:27" ht="15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</row>
    <row r="620" spans="1:27" ht="15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</row>
    <row r="621" spans="1:27" ht="15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</row>
    <row r="622" spans="1:27" ht="15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</row>
    <row r="623" spans="1:27" ht="15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</row>
    <row r="624" spans="1:27" ht="15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</row>
    <row r="625" spans="1:27" ht="15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</row>
    <row r="626" spans="1:27" ht="15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</row>
    <row r="627" spans="1:27" ht="15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</row>
    <row r="628" spans="1:27" ht="15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</row>
    <row r="629" spans="1:27" ht="15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</row>
    <row r="630" spans="1:27" ht="15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</row>
    <row r="631" spans="1:27" ht="15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</row>
    <row r="632" spans="1:27" ht="15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</row>
    <row r="633" spans="1:27" ht="15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</row>
    <row r="634" spans="1:27" ht="15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</row>
    <row r="635" spans="1:27" ht="15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</row>
    <row r="636" spans="1:27" ht="15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</row>
    <row r="637" spans="1:27" ht="15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</row>
    <row r="638" spans="1:27" ht="15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</row>
    <row r="639" spans="1:27" ht="15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</row>
    <row r="640" spans="1:27" ht="15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</row>
    <row r="641" spans="1:27" ht="15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</row>
    <row r="642" spans="1:27" ht="15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</row>
    <row r="643" spans="1:27" ht="15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</row>
    <row r="644" spans="1:27" ht="15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</row>
    <row r="645" spans="1:27" ht="15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</row>
    <row r="646" spans="1:27" ht="15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</row>
    <row r="647" spans="1:27" ht="15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</row>
    <row r="648" spans="1:27" ht="15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</row>
    <row r="649" spans="1:27" ht="15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</row>
    <row r="650" spans="1:27" ht="15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</row>
    <row r="651" spans="1:27" ht="15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</row>
    <row r="652" spans="1:27" ht="15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</row>
    <row r="653" spans="1:27" ht="15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</row>
    <row r="654" spans="1:27" ht="15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</row>
    <row r="655" spans="1:27" ht="15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</row>
    <row r="656" spans="1:27" ht="15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</row>
    <row r="657" spans="1:27" ht="15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</row>
    <row r="658" spans="1:27" ht="15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</row>
    <row r="659" spans="1:27" ht="15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</row>
    <row r="660" spans="1:27" ht="15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</row>
    <row r="661" spans="1:27" ht="15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</row>
    <row r="662" spans="1:27" ht="15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</row>
    <row r="663" spans="1:27" ht="15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</row>
    <row r="664" spans="1:27" ht="15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</row>
    <row r="665" spans="1:27" ht="15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</row>
    <row r="666" spans="1:27" ht="15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</row>
    <row r="667" spans="1:27" ht="15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</row>
    <row r="668" spans="1:27" ht="15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</row>
    <row r="669" spans="1:27" ht="15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</row>
    <row r="670" spans="1:27" ht="15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</row>
    <row r="671" spans="1:27" ht="15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</row>
    <row r="672" spans="1:27" ht="15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</row>
    <row r="673" spans="1:27" ht="15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</row>
    <row r="674" spans="1:27" ht="15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</row>
    <row r="675" spans="1:27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</row>
    <row r="676" spans="1:27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</row>
    <row r="677" spans="1:27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</row>
    <row r="678" spans="1:27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</row>
    <row r="679" spans="1:27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</row>
    <row r="680" spans="1:27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</row>
    <row r="681" spans="1:27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</row>
    <row r="682" spans="1:27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</row>
    <row r="683" spans="1:27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</row>
    <row r="684" spans="1:27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</row>
    <row r="685" spans="1:27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</row>
    <row r="686" spans="1:27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</row>
    <row r="687" spans="1:27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</row>
    <row r="688" spans="1:27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</row>
    <row r="689" spans="1:27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</row>
    <row r="690" spans="1:27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</row>
    <row r="691" spans="1:27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</row>
    <row r="692" spans="1:27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</row>
    <row r="693" spans="1:27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</row>
    <row r="694" spans="1:27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</row>
    <row r="695" spans="1:27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</row>
    <row r="696" spans="1:27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</row>
    <row r="697" spans="1:27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</row>
    <row r="698" spans="1:27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</row>
    <row r="699" spans="1:27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</row>
    <row r="700" spans="1:27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</row>
    <row r="701" spans="1:27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</row>
    <row r="702" spans="1:27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</row>
    <row r="703" spans="1:27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</row>
    <row r="704" spans="1:27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</row>
    <row r="705" spans="1:27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</row>
    <row r="706" spans="1:27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</row>
    <row r="707" spans="1:27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</row>
    <row r="708" spans="1:27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</row>
    <row r="709" spans="1:27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</row>
    <row r="710" spans="1:27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</row>
    <row r="711" spans="1:27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</row>
    <row r="712" spans="1:27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</row>
    <row r="713" spans="1:27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</row>
    <row r="714" spans="1:27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</row>
    <row r="715" spans="1:27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</row>
    <row r="716" spans="1:27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</row>
    <row r="717" spans="1:27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</row>
    <row r="718" spans="1:27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</row>
    <row r="719" spans="1:27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</row>
    <row r="720" spans="1:27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</row>
    <row r="721" spans="1:27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</row>
    <row r="722" spans="1:27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</row>
    <row r="723" spans="1:27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</row>
    <row r="724" spans="1:27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</row>
    <row r="725" spans="1:27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</row>
    <row r="726" spans="1:27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</row>
    <row r="727" spans="1:27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</row>
    <row r="728" spans="1:27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</row>
    <row r="729" spans="1:27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</row>
    <row r="730" spans="1:27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</row>
    <row r="731" spans="1:27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</row>
    <row r="732" spans="1:27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</row>
    <row r="733" spans="1:27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</row>
    <row r="734" spans="1:27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</row>
    <row r="735" spans="1:27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</row>
    <row r="736" spans="1:27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</row>
    <row r="737" spans="1:27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</row>
    <row r="738" spans="1:27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</row>
    <row r="739" spans="1:27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</row>
    <row r="740" spans="1:27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</row>
    <row r="741" spans="1:27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</row>
    <row r="742" spans="1:27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</row>
    <row r="743" spans="1:27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</row>
    <row r="744" spans="1:27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</row>
    <row r="745" spans="1:27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</row>
    <row r="746" spans="1:27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</row>
    <row r="747" spans="1:27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</row>
    <row r="748" spans="1:27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</row>
    <row r="749" spans="1:27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</row>
    <row r="750" spans="1:27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</row>
    <row r="751" spans="1:27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</row>
    <row r="752" spans="1:27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</row>
    <row r="753" spans="1:27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</row>
    <row r="754" spans="1:27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</row>
    <row r="755" spans="1:27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</row>
    <row r="756" spans="1:27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</row>
    <row r="757" spans="1:27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</row>
    <row r="758" spans="1:27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</row>
    <row r="759" spans="1:27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</row>
    <row r="760" spans="1:27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</row>
    <row r="761" spans="1:27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</row>
    <row r="762" spans="1:27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</row>
    <row r="763" spans="1:27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</row>
    <row r="764" spans="1:27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</row>
    <row r="765" spans="1:27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</row>
    <row r="766" spans="1:27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</row>
    <row r="767" spans="1:27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</row>
    <row r="768" spans="1:27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</row>
    <row r="769" spans="1:27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</row>
    <row r="770" spans="1:27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</row>
    <row r="771" spans="1:27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</row>
    <row r="772" spans="1:27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</row>
    <row r="773" spans="1:27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</row>
    <row r="774" spans="1:27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</row>
    <row r="775" spans="1:27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</row>
    <row r="776" spans="1:27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</row>
    <row r="777" spans="1:27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</row>
    <row r="778" spans="1:27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</row>
    <row r="779" spans="1:27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</row>
    <row r="780" spans="1:27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</row>
    <row r="781" spans="1:27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</row>
    <row r="782" spans="1:27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</row>
    <row r="783" spans="1:27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</row>
    <row r="784" spans="1:27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</row>
    <row r="785" spans="1:27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</row>
    <row r="786" spans="1:27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</row>
    <row r="787" spans="1:27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</row>
    <row r="788" spans="1:27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</row>
    <row r="789" spans="1:27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</row>
    <row r="790" spans="1:27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</row>
    <row r="791" spans="1:27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</row>
    <row r="792" spans="1:27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</row>
    <row r="793" spans="1:27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</row>
    <row r="794" spans="1:27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</row>
    <row r="795" spans="1:27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</row>
    <row r="796" spans="1:27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</row>
    <row r="797" spans="1:27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</row>
    <row r="798" spans="1:27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</row>
    <row r="799" spans="1:27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</row>
    <row r="800" spans="1:27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</row>
    <row r="801" spans="1:27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</row>
    <row r="802" spans="1:27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</row>
    <row r="803" spans="1:27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</row>
    <row r="804" spans="1:27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</row>
    <row r="805" spans="1:27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</row>
    <row r="806" spans="1:27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</row>
    <row r="807" spans="1:27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</row>
    <row r="808" spans="1:27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</row>
    <row r="809" spans="1:27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</row>
    <row r="810" spans="1:27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</row>
    <row r="811" spans="1:27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</row>
    <row r="812" spans="1:27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</row>
    <row r="813" spans="1:27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</row>
    <row r="814" spans="1:27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</row>
    <row r="815" spans="1:27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</row>
    <row r="816" spans="1:27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</row>
    <row r="817" spans="1:27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</row>
    <row r="818" spans="1:27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</row>
    <row r="819" spans="1:27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</row>
    <row r="820" spans="1:27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</row>
    <row r="821" spans="1:27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</row>
    <row r="822" spans="1:27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</row>
    <row r="823" spans="1:27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</row>
    <row r="824" spans="1:27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</row>
    <row r="825" spans="1:27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</row>
    <row r="826" spans="1:27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</row>
    <row r="827" spans="1:27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</row>
    <row r="828" spans="1:27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</row>
    <row r="829" spans="1:27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</row>
    <row r="830" spans="1:27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</row>
    <row r="831" spans="1:27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</row>
    <row r="832" spans="1:27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</row>
    <row r="833" spans="1:27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</row>
    <row r="834" spans="1:27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</row>
    <row r="835" spans="1:27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</row>
    <row r="836" spans="1:27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</row>
    <row r="837" spans="1:27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</row>
    <row r="838" spans="1:27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</row>
    <row r="839" spans="1:27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</row>
    <row r="840" spans="1:27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</row>
    <row r="841" spans="1:27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</row>
    <row r="842" spans="1:27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</row>
    <row r="843" spans="1:27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</row>
    <row r="844" spans="1:27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</row>
    <row r="845" spans="1:27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</row>
    <row r="846" spans="1:27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</row>
    <row r="847" spans="1:27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</row>
    <row r="848" spans="1:27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</row>
    <row r="849" spans="1:27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</row>
    <row r="850" spans="1:27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</row>
    <row r="851" spans="1:27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</row>
    <row r="852" spans="1:27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</row>
    <row r="853" spans="1:27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</row>
    <row r="854" spans="1:27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</row>
    <row r="855" spans="1:27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</row>
    <row r="856" spans="1:27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</row>
    <row r="857" spans="1:27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</row>
    <row r="858" spans="1:27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</row>
    <row r="859" spans="1:27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</row>
    <row r="860" spans="1:27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</row>
    <row r="861" spans="1:27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</row>
    <row r="862" spans="1:27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</row>
    <row r="863" spans="1:27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</row>
    <row r="864" spans="1:27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</row>
    <row r="865" spans="1:27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</row>
    <row r="866" spans="1:27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</row>
    <row r="867" spans="1:27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</row>
    <row r="868" spans="1:27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</row>
    <row r="869" spans="1:27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</row>
    <row r="870" spans="1:27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</row>
    <row r="871" spans="1:27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</row>
    <row r="872" spans="1:27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</row>
    <row r="873" spans="1:27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</row>
    <row r="874" spans="1:27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</row>
    <row r="875" spans="1:27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</row>
    <row r="876" spans="1:27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</row>
    <row r="877" spans="1:27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</row>
    <row r="878" spans="1:27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</row>
    <row r="879" spans="1:27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</row>
    <row r="880" spans="1:27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</row>
    <row r="881" spans="1:27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</row>
    <row r="882" spans="1:27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</row>
    <row r="883" spans="1:27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</row>
    <row r="884" spans="1:27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</row>
    <row r="885" spans="1:27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</row>
    <row r="886" spans="1:27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</row>
    <row r="887" spans="1:27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</row>
    <row r="888" spans="1:27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</row>
    <row r="889" spans="1:27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</row>
    <row r="890" spans="1:27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</row>
    <row r="891" spans="1:27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</row>
    <row r="892" spans="1:27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</row>
    <row r="893" spans="1:27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</row>
    <row r="894" spans="1:27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</row>
    <row r="895" spans="1:27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</row>
    <row r="896" spans="1:27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</row>
    <row r="897" spans="1:27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</row>
    <row r="898" spans="1:27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</row>
    <row r="899" spans="1:27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</row>
    <row r="900" spans="1:27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</row>
    <row r="901" spans="1:27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</row>
    <row r="902" spans="1:27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</row>
    <row r="903" spans="1:27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</row>
    <row r="904" spans="1:27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</row>
    <row r="905" spans="1:27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</row>
    <row r="906" spans="1:27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</row>
    <row r="907" spans="1:27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</row>
    <row r="908" spans="1:27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</row>
    <row r="909" spans="1:27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</row>
    <row r="910" spans="1:27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</row>
    <row r="911" spans="1:27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</row>
    <row r="912" spans="1:27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</row>
    <row r="913" spans="1:27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</row>
    <row r="914" spans="1:27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</row>
    <row r="915" spans="1:27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</row>
    <row r="916" spans="1:27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</row>
    <row r="917" spans="1:27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</row>
    <row r="918" spans="1:27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</row>
    <row r="919" spans="1:27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</row>
    <row r="920" spans="1:27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</row>
    <row r="921" spans="1:27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</row>
    <row r="922" spans="1:27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</row>
    <row r="923" spans="1:27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</row>
    <row r="924" spans="1:27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</row>
    <row r="925" spans="1:27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</row>
    <row r="926" spans="1:27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</row>
    <row r="927" spans="1:27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</row>
    <row r="928" spans="1:27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</row>
    <row r="929" spans="1:27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</row>
    <row r="930" spans="1:27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</row>
    <row r="931" spans="1:27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</row>
    <row r="932" spans="1:27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</row>
    <row r="933" spans="1:27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</row>
    <row r="934" spans="1:27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</row>
    <row r="935" spans="1:27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</row>
    <row r="936" spans="1:27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</row>
    <row r="937" spans="1:27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</row>
    <row r="938" spans="1:27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</row>
    <row r="939" spans="1:27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</row>
    <row r="940" spans="1:27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</row>
    <row r="941" spans="1:27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</row>
    <row r="942" spans="1:27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</row>
    <row r="943" spans="1:27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</row>
    <row r="944" spans="1:27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</row>
    <row r="945" spans="1:27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</row>
    <row r="946" spans="1:27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</row>
    <row r="947" spans="1:27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</row>
    <row r="948" spans="1:27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</row>
    <row r="949" spans="1:27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</row>
    <row r="950" spans="1:27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</row>
    <row r="951" spans="1:27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</row>
    <row r="952" spans="1:27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</row>
    <row r="953" spans="1:27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</row>
    <row r="954" spans="1:27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</row>
    <row r="955" spans="1:27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</row>
    <row r="956" spans="1:27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</row>
    <row r="957" spans="1:27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</row>
    <row r="958" spans="1:27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</row>
    <row r="959" spans="1:27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</row>
    <row r="960" spans="1:27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</row>
    <row r="961" spans="1:27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</row>
    <row r="962" spans="1:27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</row>
    <row r="963" spans="1:27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</row>
    <row r="964" spans="1:27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</row>
    <row r="965" spans="1:27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</row>
    <row r="966" spans="1:27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</row>
    <row r="967" spans="1:27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</row>
    <row r="968" spans="1:27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</row>
    <row r="969" spans="1:27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</row>
    <row r="970" spans="1:27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</row>
    <row r="971" spans="1:27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</row>
    <row r="972" spans="1:27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</row>
    <row r="973" spans="1:27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</row>
    <row r="974" spans="1:27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</row>
    <row r="975" spans="1:27" ht="15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</row>
    <row r="976" spans="1:27" ht="15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</row>
    <row r="977" spans="1:27" ht="15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</row>
    <row r="978" spans="1:27" ht="15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</row>
    <row r="979" spans="1:27" ht="15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</row>
    <row r="980" spans="1:27" ht="15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</row>
    <row r="981" spans="1:27" ht="15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</row>
    <row r="982" spans="1:27" ht="15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</row>
    <row r="983" spans="1:27" ht="15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</row>
    <row r="984" spans="1:27" ht="15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</row>
    <row r="985" spans="1:27" ht="15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</row>
    <row r="986" spans="1:27" ht="15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</row>
    <row r="987" spans="1:27" ht="15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</row>
    <row r="988" spans="1:27" ht="15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</row>
    <row r="989" spans="1:27" ht="15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</row>
    <row r="990" spans="1:27" ht="15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</row>
  </sheetData>
  <mergeCells count="2">
    <mergeCell ref="E6:F6"/>
    <mergeCell ref="B16:I1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7981D"/>
  </sheetPr>
  <dimension ref="A1:Y982"/>
  <sheetViews>
    <sheetView showGridLines="0" workbookViewId="0">
      <selection activeCell="A12" sqref="A12"/>
    </sheetView>
  </sheetViews>
  <sheetFormatPr defaultColWidth="14.42578125" defaultRowHeight="15" customHeight="1"/>
  <cols>
    <col min="1" max="1" width="7" customWidth="1"/>
    <col min="2" max="2" width="40" customWidth="1"/>
    <col min="3" max="3" width="16.7109375" customWidth="1"/>
    <col min="4" max="6" width="14" customWidth="1"/>
    <col min="7" max="7" width="15.42578125" customWidth="1"/>
    <col min="8" max="8" width="15" customWidth="1"/>
    <col min="9" max="26" width="14" customWidth="1"/>
  </cols>
  <sheetData>
    <row r="1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121" t="s">
        <v>146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77" t="s">
        <v>147</v>
      </c>
      <c r="B4" s="278"/>
      <c r="C4" s="278"/>
      <c r="D4" s="278"/>
      <c r="E4" s="278"/>
      <c r="F4" s="278"/>
      <c r="G4" s="27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122" t="s">
        <v>3</v>
      </c>
      <c r="B5" s="122" t="s">
        <v>79</v>
      </c>
      <c r="C5" s="122" t="s">
        <v>80</v>
      </c>
      <c r="D5" s="122" t="s">
        <v>81</v>
      </c>
      <c r="E5" s="122" t="s">
        <v>82</v>
      </c>
      <c r="F5" s="122" t="s">
        <v>83</v>
      </c>
      <c r="G5" s="122" t="s">
        <v>84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124">
        <v>1</v>
      </c>
      <c r="B6" s="212" t="str">
        <f>'Inputs 1'!B7</f>
        <v xml:space="preserve">System design (Liters/day) </v>
      </c>
      <c r="C6" s="213">
        <f>'Inputs 1'!C7</f>
        <v>1000</v>
      </c>
      <c r="D6" s="213">
        <f>'Inputs 1'!D7</f>
        <v>1000</v>
      </c>
      <c r="E6" s="213">
        <f>'Inputs 1'!E7</f>
        <v>1000</v>
      </c>
      <c r="F6" s="213">
        <f>'Inputs 1'!F7</f>
        <v>1000</v>
      </c>
      <c r="G6" s="213">
        <f>'Inputs 1'!G7</f>
        <v>1000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132">
        <f t="shared" ref="A7:A8" si="0">A6+1</f>
        <v>2</v>
      </c>
      <c r="B7" s="212" t="str">
        <f>'Inputs 1'!B8</f>
        <v>Utilization</v>
      </c>
      <c r="C7" s="214">
        <f>'Inputs 1'!C8</f>
        <v>0.8</v>
      </c>
      <c r="D7" s="214">
        <f>'Inputs 1'!D8</f>
        <v>0.8</v>
      </c>
      <c r="E7" s="214">
        <f>'Inputs 1'!E8</f>
        <v>0.8</v>
      </c>
      <c r="F7" s="214">
        <f>'Inputs 1'!F8</f>
        <v>0.8</v>
      </c>
      <c r="G7" s="214">
        <f>'Inputs 1'!G8</f>
        <v>0.8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132">
        <f t="shared" si="0"/>
        <v>3</v>
      </c>
      <c r="B8" s="212" t="str">
        <f>'Inputs 1'!B9</f>
        <v>Working Days per Month</v>
      </c>
      <c r="C8" s="213">
        <f>'Inputs 1'!C9</f>
        <v>30</v>
      </c>
      <c r="D8" s="213">
        <f>'Inputs 1'!D9</f>
        <v>30</v>
      </c>
      <c r="E8" s="213">
        <f>'Inputs 1'!E9</f>
        <v>30</v>
      </c>
      <c r="F8" s="213">
        <f>'Inputs 1'!F9</f>
        <v>30</v>
      </c>
      <c r="G8" s="213">
        <f>'Inputs 1'!G9</f>
        <v>30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145">
        <f>A7+1</f>
        <v>3</v>
      </c>
      <c r="B9" s="212" t="str">
        <f>'Inputs 1'!B10</f>
        <v>Working Months per Year (Cyclicity)</v>
      </c>
      <c r="C9" s="213">
        <f>'Inputs 1'!C10</f>
        <v>12</v>
      </c>
      <c r="D9" s="213">
        <f>'Inputs 1'!D10</f>
        <v>12</v>
      </c>
      <c r="E9" s="213">
        <f>'Inputs 1'!E10</f>
        <v>12</v>
      </c>
      <c r="F9" s="213">
        <f>'Inputs 1'!F10</f>
        <v>12</v>
      </c>
      <c r="G9" s="213">
        <f>'Inputs 1'!G10</f>
        <v>12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279" t="s">
        <v>148</v>
      </c>
      <c r="B11" s="268"/>
      <c r="C11" s="268"/>
      <c r="D11" s="268"/>
      <c r="E11" s="268"/>
      <c r="F11" s="268"/>
      <c r="G11" s="29"/>
      <c r="H11" s="2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9.25" customHeight="1">
      <c r="A12" s="122" t="s">
        <v>3</v>
      </c>
      <c r="B12" s="122" t="s">
        <v>22</v>
      </c>
      <c r="C12" s="33" t="str">
        <f>'Inputs 1'!C12</f>
        <v>Liters/month</v>
      </c>
      <c r="D12" s="33" t="str">
        <f>'Inputs 1'!D12</f>
        <v>Incremental rate in price</v>
      </c>
      <c r="E12" s="33" t="str">
        <f>'Inputs 1'!E12</f>
        <v>Selling Price per Liter</v>
      </c>
      <c r="F12" s="33" t="str">
        <f>'Inputs 1'!F12</f>
        <v>Monthly inflows (Y1)</v>
      </c>
      <c r="G12" s="33" t="str">
        <f>'Inputs 1'!G12</f>
        <v>%age increase in output (YoY)</v>
      </c>
      <c r="H12" s="60"/>
      <c r="I12" s="60"/>
      <c r="J12" s="60"/>
      <c r="K12" s="6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124">
        <v>1</v>
      </c>
      <c r="B13" s="212" t="str">
        <f>'Inputs 1'!B13</f>
        <v>Milk Sold</v>
      </c>
      <c r="C13" s="127">
        <f>'Inputs 1'!$C13</f>
        <v>0</v>
      </c>
      <c r="D13" s="216">
        <f>'Inputs 1'!$D13</f>
        <v>0.02</v>
      </c>
      <c r="E13" s="217">
        <f>'Inputs 1'!$E13</f>
        <v>50</v>
      </c>
      <c r="F13" s="218">
        <f>C13*E13</f>
        <v>0</v>
      </c>
      <c r="G13" s="61">
        <f>'Inputs 1'!G13</f>
        <v>0.02</v>
      </c>
      <c r="H13" s="6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>
      <c r="A14" s="154"/>
      <c r="B14" s="219" t="s">
        <v>130</v>
      </c>
      <c r="C14" s="220">
        <f>SUM(C13)</f>
        <v>0</v>
      </c>
      <c r="D14" s="221"/>
      <c r="E14" s="151" t="e">
        <f>(SUMPRODUCT(E13, C13) / SUM(C13))</f>
        <v>#DIV/0!</v>
      </c>
      <c r="F14" s="151">
        <f>SUM(F13)</f>
        <v>0</v>
      </c>
      <c r="G14" s="221"/>
      <c r="H14" s="6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>
      <c r="B15" s="29"/>
      <c r="C15" s="62"/>
      <c r="D15" s="63"/>
      <c r="E15" s="63"/>
      <c r="F15" s="60"/>
      <c r="G15" s="63"/>
      <c r="H15" s="6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>
      <c r="B16" s="29"/>
      <c r="C16" s="62"/>
      <c r="D16" s="63"/>
      <c r="E16" s="63"/>
      <c r="F16" s="60"/>
      <c r="G16" s="63"/>
      <c r="H16" s="6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>
      <c r="A17" s="280" t="s">
        <v>28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>
      <c r="A18" s="267" t="s">
        <v>3</v>
      </c>
      <c r="B18" s="267" t="s">
        <v>22</v>
      </c>
      <c r="C18" s="267" t="s">
        <v>80</v>
      </c>
      <c r="D18" s="268"/>
      <c r="E18" s="267" t="s">
        <v>81</v>
      </c>
      <c r="F18" s="268"/>
      <c r="G18" s="267" t="s">
        <v>82</v>
      </c>
      <c r="H18" s="268"/>
      <c r="I18" s="267" t="s">
        <v>83</v>
      </c>
      <c r="J18" s="268"/>
      <c r="K18" s="267" t="s">
        <v>84</v>
      </c>
      <c r="L18" s="26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>
      <c r="A19" s="268"/>
      <c r="B19" s="268"/>
      <c r="C19" s="215" t="s">
        <v>149</v>
      </c>
      <c r="D19" s="215" t="s">
        <v>150</v>
      </c>
      <c r="E19" s="215" t="s">
        <v>149</v>
      </c>
      <c r="F19" s="215" t="s">
        <v>150</v>
      </c>
      <c r="G19" s="215" t="s">
        <v>149</v>
      </c>
      <c r="H19" s="215" t="s">
        <v>150</v>
      </c>
      <c r="I19" s="215" t="s">
        <v>149</v>
      </c>
      <c r="J19" s="215" t="s">
        <v>150</v>
      </c>
      <c r="K19" s="215" t="s">
        <v>149</v>
      </c>
      <c r="L19" s="215" t="s">
        <v>150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>
      <c r="A20" s="124">
        <v>1</v>
      </c>
      <c r="B20" s="130" t="s">
        <v>151</v>
      </c>
      <c r="C20" s="222">
        <f>C13</f>
        <v>0</v>
      </c>
      <c r="D20" s="223">
        <f>C20*C9</f>
        <v>0</v>
      </c>
      <c r="E20" s="223">
        <f>C20*(1+$G$13)</f>
        <v>0</v>
      </c>
      <c r="F20" s="223">
        <f>E20*D9</f>
        <v>0</v>
      </c>
      <c r="G20" s="223">
        <f>E20*(1+$G$13)</f>
        <v>0</v>
      </c>
      <c r="H20" s="223">
        <f>G20*E9</f>
        <v>0</v>
      </c>
      <c r="I20" s="223">
        <f>G20*(1+$G$13)</f>
        <v>0</v>
      </c>
      <c r="J20" s="223">
        <f>I20*F9</f>
        <v>0</v>
      </c>
      <c r="K20" s="223">
        <f>I20*(1+$G$13)</f>
        <v>0</v>
      </c>
      <c r="L20" s="223">
        <f>K20*G9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>
      <c r="A21" s="132">
        <f>A20+1</f>
        <v>2</v>
      </c>
      <c r="B21" s="136" t="s">
        <v>28</v>
      </c>
      <c r="C21" s="224">
        <f t="shared" ref="C21:L21" si="1">C20*C22</f>
        <v>0</v>
      </c>
      <c r="D21" s="224">
        <f t="shared" si="1"/>
        <v>0</v>
      </c>
      <c r="E21" s="224">
        <f t="shared" si="1"/>
        <v>0</v>
      </c>
      <c r="F21" s="224">
        <f t="shared" si="1"/>
        <v>0</v>
      </c>
      <c r="G21" s="224">
        <f t="shared" si="1"/>
        <v>0</v>
      </c>
      <c r="H21" s="224">
        <f t="shared" si="1"/>
        <v>0</v>
      </c>
      <c r="I21" s="224">
        <f t="shared" si="1"/>
        <v>0</v>
      </c>
      <c r="J21" s="224">
        <f t="shared" si="1"/>
        <v>0</v>
      </c>
      <c r="K21" s="224">
        <f t="shared" si="1"/>
        <v>0</v>
      </c>
      <c r="L21" s="224">
        <f t="shared" si="1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>
      <c r="A22" s="10"/>
      <c r="B22" s="64" t="s">
        <v>152</v>
      </c>
      <c r="C22" s="65">
        <f>E13</f>
        <v>50</v>
      </c>
      <c r="D22" s="66">
        <f>C22</f>
        <v>50</v>
      </c>
      <c r="E22" s="67">
        <f>C22*(1+$D$13)</f>
        <v>51</v>
      </c>
      <c r="F22" s="66">
        <f>E22</f>
        <v>51</v>
      </c>
      <c r="G22" s="67">
        <f>E22*(1+$D$13)</f>
        <v>52.02</v>
      </c>
      <c r="H22" s="66">
        <f>G22</f>
        <v>52.02</v>
      </c>
      <c r="I22" s="67">
        <f>G22*(1+$D$13)</f>
        <v>53.060400000000001</v>
      </c>
      <c r="J22" s="66">
        <f>I22</f>
        <v>53.060400000000001</v>
      </c>
      <c r="K22" s="67">
        <f>I22*(1+$D$13)</f>
        <v>54.121608000000002</v>
      </c>
      <c r="L22" s="66">
        <f>K22</f>
        <v>54.121608000000002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>
      <c r="A24" s="277" t="s">
        <v>153</v>
      </c>
      <c r="B24" s="278"/>
      <c r="C24" s="278"/>
      <c r="D24" s="278"/>
      <c r="E24" s="278"/>
      <c r="F24" s="278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7.75" customHeight="1">
      <c r="A25" s="33" t="s">
        <v>3</v>
      </c>
      <c r="B25" s="33" t="s">
        <v>22</v>
      </c>
      <c r="C25" s="33" t="s">
        <v>100</v>
      </c>
      <c r="D25" s="33" t="s">
        <v>154</v>
      </c>
      <c r="E25" s="33" t="s">
        <v>101</v>
      </c>
      <c r="F25" s="33" t="s">
        <v>102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132">
        <v>1</v>
      </c>
      <c r="B26" s="225" t="str">
        <f>'Inputs 1'!B17</f>
        <v>Human Resource</v>
      </c>
      <c r="C26" s="225" t="str">
        <f>'Inputs 1'!D17</f>
        <v>Fixed Cost</v>
      </c>
      <c r="D26" s="142">
        <f>'Inputs 1'!C17</f>
        <v>25000</v>
      </c>
      <c r="E26" s="226">
        <f>'Inputs 1'!E17</f>
        <v>0</v>
      </c>
      <c r="F26" s="227">
        <f t="shared" ref="F26:F32" si="2">D26*$C$9</f>
        <v>300000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132">
        <f t="shared" ref="A27:A32" si="3">A26+1</f>
        <v>2</v>
      </c>
      <c r="B27" s="225" t="str">
        <f>'Inputs 1'!B18</f>
        <v>Rent and Maintenance</v>
      </c>
      <c r="C27" s="225" t="str">
        <f>'Inputs 1'!D18</f>
        <v>Fixed Cost</v>
      </c>
      <c r="D27" s="142">
        <f>'Inputs 1'!C18</f>
        <v>10000</v>
      </c>
      <c r="E27" s="226">
        <f>'Inputs 1'!E18</f>
        <v>0</v>
      </c>
      <c r="F27" s="227">
        <f t="shared" si="2"/>
        <v>120000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132">
        <f t="shared" si="3"/>
        <v>3</v>
      </c>
      <c r="B28" s="225" t="str">
        <f>'Inputs 1'!B19</f>
        <v>Raw Material (Cow Milk)</v>
      </c>
      <c r="C28" s="225" t="str">
        <f>'Inputs 1'!D19</f>
        <v>Variable Cost</v>
      </c>
      <c r="D28" s="142">
        <f>'Inputs 1'!C19</f>
        <v>864000</v>
      </c>
      <c r="E28" s="226">
        <f>'Inputs 1'!E19</f>
        <v>0</v>
      </c>
      <c r="F28" s="227">
        <f t="shared" si="2"/>
        <v>10368000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132">
        <f t="shared" si="3"/>
        <v>4</v>
      </c>
      <c r="B29" s="225" t="str">
        <f>'Inputs 1'!B20</f>
        <v>Electricity</v>
      </c>
      <c r="C29" s="225" t="str">
        <f>'Inputs 1'!D20</f>
        <v>Fixed Cost</v>
      </c>
      <c r="D29" s="142">
        <f>'Inputs 1'!C20</f>
        <v>0</v>
      </c>
      <c r="E29" s="226">
        <f>'Inputs 1'!E20</f>
        <v>0</v>
      </c>
      <c r="F29" s="227">
        <f t="shared" si="2"/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132">
        <f t="shared" si="3"/>
        <v>5</v>
      </c>
      <c r="B30" s="225" t="str">
        <f>'Inputs 1'!B21</f>
        <v>Transport</v>
      </c>
      <c r="C30" s="225" t="str">
        <f>'Inputs 1'!D21</f>
        <v>Variable Cost</v>
      </c>
      <c r="D30" s="142">
        <f>'Inputs 1'!C21</f>
        <v>0</v>
      </c>
      <c r="E30" s="226">
        <f>'Inputs 1'!E21</f>
        <v>0</v>
      </c>
      <c r="F30" s="227">
        <f t="shared" si="2"/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132">
        <f t="shared" si="3"/>
        <v>6</v>
      </c>
      <c r="B31" s="225" t="str">
        <f>'Inputs 1'!B22</f>
        <v>Packaging</v>
      </c>
      <c r="C31" s="225" t="str">
        <f>'Inputs 1'!D22</f>
        <v>Variable Cost</v>
      </c>
      <c r="D31" s="142">
        <f>'Inputs 1'!C22</f>
        <v>0</v>
      </c>
      <c r="E31" s="226">
        <f>'Inputs 1'!E22</f>
        <v>0</v>
      </c>
      <c r="F31" s="227">
        <f t="shared" si="2"/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132">
        <f t="shared" si="3"/>
        <v>7</v>
      </c>
      <c r="B32" s="225" t="str">
        <f>'Inputs 1'!B23</f>
        <v>Other Expenses</v>
      </c>
      <c r="C32" s="225" t="str">
        <f>'Inputs 1'!D23</f>
        <v>Variable Cost</v>
      </c>
      <c r="D32" s="142">
        <f>'Inputs 1'!C23</f>
        <v>0</v>
      </c>
      <c r="E32" s="226">
        <f>'Inputs 1'!E23</f>
        <v>0</v>
      </c>
      <c r="F32" s="227">
        <f t="shared" si="2"/>
        <v>0</v>
      </c>
      <c r="G32" s="3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228"/>
      <c r="B33" s="150" t="s">
        <v>155</v>
      </c>
      <c r="C33" s="150"/>
      <c r="D33" s="151">
        <f>SUM(D26:D32)</f>
        <v>899000</v>
      </c>
      <c r="E33" s="150"/>
      <c r="F33" s="151">
        <f>SUM(F26:F32)</f>
        <v>10788000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2"/>
      <c r="B34" s="6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B35" s="29"/>
      <c r="C35" s="63"/>
      <c r="D35" s="63"/>
      <c r="E35" s="63"/>
      <c r="F35" s="60"/>
      <c r="G35" s="63"/>
      <c r="H35" s="60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280" t="s">
        <v>156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267" t="s">
        <v>3</v>
      </c>
      <c r="B37" s="267" t="s">
        <v>22</v>
      </c>
      <c r="C37" s="267" t="s">
        <v>80</v>
      </c>
      <c r="D37" s="268"/>
      <c r="E37" s="267" t="s">
        <v>81</v>
      </c>
      <c r="F37" s="268"/>
      <c r="G37" s="267" t="s">
        <v>82</v>
      </c>
      <c r="H37" s="268"/>
      <c r="I37" s="267" t="s">
        <v>83</v>
      </c>
      <c r="J37" s="268"/>
      <c r="K37" s="267" t="s">
        <v>84</v>
      </c>
      <c r="L37" s="26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268"/>
      <c r="B38" s="268"/>
      <c r="C38" s="215" t="s">
        <v>149</v>
      </c>
      <c r="D38" s="215" t="s">
        <v>150</v>
      </c>
      <c r="E38" s="215" t="s">
        <v>149</v>
      </c>
      <c r="F38" s="215" t="s">
        <v>150</v>
      </c>
      <c r="G38" s="215" t="s">
        <v>149</v>
      </c>
      <c r="H38" s="215" t="s">
        <v>150</v>
      </c>
      <c r="I38" s="215" t="s">
        <v>149</v>
      </c>
      <c r="J38" s="215" t="s">
        <v>150</v>
      </c>
      <c r="K38" s="215" t="s">
        <v>149</v>
      </c>
      <c r="L38" s="215" t="s">
        <v>150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124">
        <v>1</v>
      </c>
      <c r="B39" s="225" t="str">
        <f t="shared" ref="B39:B45" si="4">B26</f>
        <v>Human Resource</v>
      </c>
      <c r="C39" s="218">
        <f t="array" ref="C39">INDEX(Working!$D$26:$D$32,MATCH(B39,Working!$B$26:$B$32,0))</f>
        <v>25000</v>
      </c>
      <c r="D39" s="218">
        <f t="shared" ref="D39:D45" si="5">C39*$C$9</f>
        <v>300000</v>
      </c>
      <c r="E39" s="218">
        <f>C39*(1+Working!$E26)</f>
        <v>25000</v>
      </c>
      <c r="F39" s="218">
        <f t="shared" ref="F39:F45" si="6">E39*$D$9</f>
        <v>300000</v>
      </c>
      <c r="G39" s="218">
        <f>E39*(1+Working!$E26)</f>
        <v>25000</v>
      </c>
      <c r="H39" s="218">
        <f t="shared" ref="H39:H45" si="7">G39*$E$9</f>
        <v>300000</v>
      </c>
      <c r="I39" s="218">
        <f>G39*(1+Working!$E26)</f>
        <v>25000</v>
      </c>
      <c r="J39" s="218">
        <f t="shared" ref="J39:J45" si="8">I39*$F$9</f>
        <v>300000</v>
      </c>
      <c r="K39" s="218">
        <f>I39*(1+Working!$E26)</f>
        <v>25000</v>
      </c>
      <c r="L39" s="218">
        <f t="shared" ref="L39:L45" si="9">K39*$G$9</f>
        <v>300000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132">
        <f t="shared" ref="A40:A45" si="10">A39+1</f>
        <v>2</v>
      </c>
      <c r="B40" s="225" t="str">
        <f t="shared" si="4"/>
        <v>Rent and Maintenance</v>
      </c>
      <c r="C40" s="227">
        <f t="array" ref="C40">INDEX(Working!$D$26:$D$32,MATCH(B40,Working!$B$26:$B$32,0))</f>
        <v>10000</v>
      </c>
      <c r="D40" s="218">
        <f t="shared" si="5"/>
        <v>120000</v>
      </c>
      <c r="E40" s="227">
        <f>C40*(1+Working!$E27)</f>
        <v>10000</v>
      </c>
      <c r="F40" s="218">
        <f t="shared" si="6"/>
        <v>120000</v>
      </c>
      <c r="G40" s="227">
        <f>E40*(1+Working!$E27)</f>
        <v>10000</v>
      </c>
      <c r="H40" s="218">
        <f t="shared" si="7"/>
        <v>120000</v>
      </c>
      <c r="I40" s="227">
        <f>G40*(1+Working!$E27)</f>
        <v>10000</v>
      </c>
      <c r="J40" s="218">
        <f t="shared" si="8"/>
        <v>120000</v>
      </c>
      <c r="K40" s="227">
        <f>I40*(1+Working!$E27)</f>
        <v>10000</v>
      </c>
      <c r="L40" s="218">
        <f t="shared" si="9"/>
        <v>120000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132">
        <f t="shared" si="10"/>
        <v>3</v>
      </c>
      <c r="B41" s="225" t="str">
        <f t="shared" si="4"/>
        <v>Raw Material (Cow Milk)</v>
      </c>
      <c r="C41" s="227">
        <f t="array" ref="C41">INDEX(Working!$D$26:$D$32,MATCH(B41,Working!$B$26:$B$32,0))</f>
        <v>864000</v>
      </c>
      <c r="D41" s="218">
        <f t="shared" si="5"/>
        <v>10368000</v>
      </c>
      <c r="E41" s="227">
        <f>C41*(1+Working!$E28)</f>
        <v>864000</v>
      </c>
      <c r="F41" s="218">
        <f t="shared" si="6"/>
        <v>10368000</v>
      </c>
      <c r="G41" s="227">
        <f>E41*(1+Working!$E28)</f>
        <v>864000</v>
      </c>
      <c r="H41" s="218">
        <f t="shared" si="7"/>
        <v>10368000</v>
      </c>
      <c r="I41" s="227">
        <f>G41*(1+Working!$E28)</f>
        <v>864000</v>
      </c>
      <c r="J41" s="218">
        <f t="shared" si="8"/>
        <v>10368000</v>
      </c>
      <c r="K41" s="227">
        <f>I41*(1+Working!$E28)</f>
        <v>864000</v>
      </c>
      <c r="L41" s="218">
        <f t="shared" si="9"/>
        <v>10368000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132">
        <f t="shared" si="10"/>
        <v>4</v>
      </c>
      <c r="B42" s="225" t="str">
        <f t="shared" si="4"/>
        <v>Electricity</v>
      </c>
      <c r="C42" s="227">
        <f t="array" ref="C42">INDEX(Working!$D$26:$D$32,MATCH(B42,Working!$B$26:$B$32,0))</f>
        <v>0</v>
      </c>
      <c r="D42" s="218">
        <f t="shared" si="5"/>
        <v>0</v>
      </c>
      <c r="E42" s="227">
        <f>C42*(1+Working!$E29)</f>
        <v>0</v>
      </c>
      <c r="F42" s="218">
        <f t="shared" si="6"/>
        <v>0</v>
      </c>
      <c r="G42" s="227">
        <f>E42*(1+Working!$E29)</f>
        <v>0</v>
      </c>
      <c r="H42" s="218">
        <f t="shared" si="7"/>
        <v>0</v>
      </c>
      <c r="I42" s="227">
        <f>G42*(1+Working!$E29)</f>
        <v>0</v>
      </c>
      <c r="J42" s="218">
        <f t="shared" si="8"/>
        <v>0</v>
      </c>
      <c r="K42" s="227">
        <f>I42*(1+Working!$E29)</f>
        <v>0</v>
      </c>
      <c r="L42" s="218">
        <f t="shared" si="9"/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132">
        <f t="shared" si="10"/>
        <v>5</v>
      </c>
      <c r="B43" s="225" t="str">
        <f t="shared" si="4"/>
        <v>Transport</v>
      </c>
      <c r="C43" s="227">
        <f t="array" ref="C43">INDEX(Working!$D$26:$D$32,MATCH(B43,Working!$B$26:$B$32,0))</f>
        <v>0</v>
      </c>
      <c r="D43" s="218">
        <f t="shared" si="5"/>
        <v>0</v>
      </c>
      <c r="E43" s="227">
        <f>C43*(1+Working!$E30)</f>
        <v>0</v>
      </c>
      <c r="F43" s="218">
        <f t="shared" si="6"/>
        <v>0</v>
      </c>
      <c r="G43" s="227">
        <f>E43*(1+Working!$E30)</f>
        <v>0</v>
      </c>
      <c r="H43" s="218">
        <f t="shared" si="7"/>
        <v>0</v>
      </c>
      <c r="I43" s="227">
        <f>G43*(1+Working!$E30)</f>
        <v>0</v>
      </c>
      <c r="J43" s="218">
        <f t="shared" si="8"/>
        <v>0</v>
      </c>
      <c r="K43" s="227">
        <f>I43*(1+Working!$E30)</f>
        <v>0</v>
      </c>
      <c r="L43" s="218">
        <f t="shared" si="9"/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132">
        <f t="shared" si="10"/>
        <v>6</v>
      </c>
      <c r="B44" s="225" t="str">
        <f t="shared" si="4"/>
        <v>Packaging</v>
      </c>
      <c r="C44" s="227">
        <f t="array" ref="C44">INDEX(Working!$D$26:$D$32,MATCH(B44,Working!$B$26:$B$32,0))</f>
        <v>0</v>
      </c>
      <c r="D44" s="218">
        <f t="shared" si="5"/>
        <v>0</v>
      </c>
      <c r="E44" s="227">
        <f>C44*(1+Working!$E31)</f>
        <v>0</v>
      </c>
      <c r="F44" s="218">
        <f t="shared" si="6"/>
        <v>0</v>
      </c>
      <c r="G44" s="227">
        <f>E44*(1+Working!$E31)</f>
        <v>0</v>
      </c>
      <c r="H44" s="218">
        <f t="shared" si="7"/>
        <v>0</v>
      </c>
      <c r="I44" s="227">
        <f>G44*(1+Working!$E31)</f>
        <v>0</v>
      </c>
      <c r="J44" s="218">
        <f t="shared" si="8"/>
        <v>0</v>
      </c>
      <c r="K44" s="227">
        <f>I44*(1+Working!$E31)</f>
        <v>0</v>
      </c>
      <c r="L44" s="218">
        <f t="shared" si="9"/>
        <v>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132">
        <f t="shared" si="10"/>
        <v>7</v>
      </c>
      <c r="B45" s="225" t="str">
        <f t="shared" si="4"/>
        <v>Other Expenses</v>
      </c>
      <c r="C45" s="227">
        <f t="array" ref="C45">INDEX(Working!$D$26:$D$32,MATCH(B45,Working!$B$26:$B$32,0))</f>
        <v>0</v>
      </c>
      <c r="D45" s="218">
        <f t="shared" si="5"/>
        <v>0</v>
      </c>
      <c r="E45" s="227">
        <f>C45*(1+Working!$E32)</f>
        <v>0</v>
      </c>
      <c r="F45" s="218">
        <f t="shared" si="6"/>
        <v>0</v>
      </c>
      <c r="G45" s="227">
        <f>E45*(1+Working!$E32)</f>
        <v>0</v>
      </c>
      <c r="H45" s="218">
        <f t="shared" si="7"/>
        <v>0</v>
      </c>
      <c r="I45" s="227">
        <f>G45*(1+Working!$E32)</f>
        <v>0</v>
      </c>
      <c r="J45" s="218">
        <f t="shared" si="8"/>
        <v>0</v>
      </c>
      <c r="K45" s="227">
        <f>I45*(1+Working!$E32)</f>
        <v>0</v>
      </c>
      <c r="L45" s="218">
        <f t="shared" si="9"/>
        <v>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228"/>
      <c r="B46" s="229" t="s">
        <v>155</v>
      </c>
      <c r="C46" s="151">
        <f t="shared" ref="C46:L46" si="11">SUM(C39:C45)</f>
        <v>899000</v>
      </c>
      <c r="D46" s="151">
        <f t="shared" si="11"/>
        <v>10788000</v>
      </c>
      <c r="E46" s="151">
        <f t="shared" si="11"/>
        <v>899000</v>
      </c>
      <c r="F46" s="151">
        <f t="shared" si="11"/>
        <v>10788000</v>
      </c>
      <c r="G46" s="151">
        <f t="shared" si="11"/>
        <v>899000</v>
      </c>
      <c r="H46" s="151">
        <f t="shared" si="11"/>
        <v>10788000</v>
      </c>
      <c r="I46" s="151">
        <f t="shared" si="11"/>
        <v>899000</v>
      </c>
      <c r="J46" s="151">
        <f t="shared" si="11"/>
        <v>10788000</v>
      </c>
      <c r="K46" s="151">
        <f t="shared" si="11"/>
        <v>899000</v>
      </c>
      <c r="L46" s="151">
        <f t="shared" si="11"/>
        <v>10788000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29"/>
      <c r="B47" s="29"/>
      <c r="C47" s="29"/>
      <c r="D47" s="29"/>
      <c r="E47" s="29"/>
      <c r="F47" s="2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29"/>
      <c r="B48" s="29"/>
      <c r="C48" s="29"/>
      <c r="D48" s="29"/>
      <c r="E48" s="29"/>
      <c r="F48" s="2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29"/>
      <c r="B49" s="29"/>
      <c r="C49" s="29"/>
      <c r="D49" s="29"/>
      <c r="E49" s="29"/>
      <c r="F49" s="2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9"/>
      <c r="F50" s="2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9"/>
      <c r="F51" s="2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2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2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9"/>
      <c r="C55" s="28"/>
      <c r="D55" s="28"/>
      <c r="E55" s="2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/>
    <row r="248" spans="1:25" ht="15.75" customHeight="1"/>
    <row r="249" spans="1:25" ht="15.75" customHeight="1"/>
    <row r="250" spans="1:25" ht="15.75" customHeight="1"/>
    <row r="251" spans="1:25" ht="15.75" customHeight="1"/>
    <row r="252" spans="1:25" ht="15.75" customHeight="1"/>
    <row r="253" spans="1:25" ht="15.75" customHeight="1"/>
    <row r="254" spans="1:25" ht="15.75" customHeight="1"/>
    <row r="255" spans="1:25" ht="15.75" customHeight="1"/>
    <row r="256" spans="1:2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19">
    <mergeCell ref="G37:H37"/>
    <mergeCell ref="I37:J37"/>
    <mergeCell ref="E18:F18"/>
    <mergeCell ref="A24:F24"/>
    <mergeCell ref="A36:L36"/>
    <mergeCell ref="A37:A38"/>
    <mergeCell ref="B37:B38"/>
    <mergeCell ref="C37:D37"/>
    <mergeCell ref="E37:F37"/>
    <mergeCell ref="K37:L37"/>
    <mergeCell ref="G18:H18"/>
    <mergeCell ref="I18:J18"/>
    <mergeCell ref="A4:G4"/>
    <mergeCell ref="A11:F11"/>
    <mergeCell ref="A17:L17"/>
    <mergeCell ref="A18:A19"/>
    <mergeCell ref="B18:B19"/>
    <mergeCell ref="C18:D18"/>
    <mergeCell ref="K18:L18"/>
  </mergeCells>
  <dataValidations count="1">
    <dataValidation type="list" allowBlank="1" showErrorMessage="1" sqref="C26:C32" xr:uid="{00000000-0002-0000-0600-000000000000}">
      <formula1>"Fixed Cost,Variable Cost,Operating Cost"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A86E8"/>
  </sheetPr>
  <dimension ref="A21:A1000"/>
  <sheetViews>
    <sheetView showGridLines="0" workbookViewId="0"/>
  </sheetViews>
  <sheetFormatPr defaultColWidth="14.42578125" defaultRowHeight="15" customHeight="1"/>
  <cols>
    <col min="1" max="26" width="14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4A86E8"/>
  </sheetPr>
  <dimension ref="A1:Y999"/>
  <sheetViews>
    <sheetView showGridLines="0" workbookViewId="0"/>
  </sheetViews>
  <sheetFormatPr defaultColWidth="14.42578125" defaultRowHeight="15" customHeight="1"/>
  <cols>
    <col min="1" max="1" width="7" customWidth="1"/>
    <col min="2" max="2" width="36.7109375" customWidth="1"/>
    <col min="3" max="3" width="16.7109375" customWidth="1"/>
    <col min="4" max="6" width="14" customWidth="1"/>
    <col min="7" max="7" width="15.42578125" customWidth="1"/>
    <col min="8" max="8" width="15" customWidth="1"/>
    <col min="9" max="26" width="14" customWidth="1"/>
  </cols>
  <sheetData>
    <row r="1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121" t="s">
        <v>157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67" t="s">
        <v>3</v>
      </c>
      <c r="B4" s="267" t="s">
        <v>22</v>
      </c>
      <c r="C4" s="267" t="s">
        <v>80</v>
      </c>
      <c r="D4" s="268"/>
      <c r="E4" s="267" t="s">
        <v>81</v>
      </c>
      <c r="F4" s="268"/>
      <c r="G4" s="267" t="s">
        <v>82</v>
      </c>
      <c r="H4" s="268"/>
      <c r="I4" s="267" t="s">
        <v>83</v>
      </c>
      <c r="J4" s="268"/>
      <c r="K4" s="267" t="s">
        <v>84</v>
      </c>
      <c r="L4" s="26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268"/>
      <c r="B5" s="268"/>
      <c r="C5" s="215" t="s">
        <v>149</v>
      </c>
      <c r="D5" s="215" t="s">
        <v>150</v>
      </c>
      <c r="E5" s="215" t="s">
        <v>149</v>
      </c>
      <c r="F5" s="215" t="s">
        <v>150</v>
      </c>
      <c r="G5" s="215" t="s">
        <v>149</v>
      </c>
      <c r="H5" s="215" t="s">
        <v>150</v>
      </c>
      <c r="I5" s="215" t="s">
        <v>149</v>
      </c>
      <c r="J5" s="215" t="s">
        <v>150</v>
      </c>
      <c r="K5" s="215" t="s">
        <v>149</v>
      </c>
      <c r="L5" s="215" t="s">
        <v>150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10">
        <v>1</v>
      </c>
      <c r="B6" s="163" t="s">
        <v>28</v>
      </c>
      <c r="C6" s="230">
        <f>Working!C21</f>
        <v>0</v>
      </c>
      <c r="D6" s="230">
        <f>Working!D21</f>
        <v>0</v>
      </c>
      <c r="E6" s="230">
        <f>Working!E21</f>
        <v>0</v>
      </c>
      <c r="F6" s="230">
        <f>Working!F21</f>
        <v>0</v>
      </c>
      <c r="G6" s="230">
        <f>Working!G21</f>
        <v>0</v>
      </c>
      <c r="H6" s="230">
        <f>Working!H21</f>
        <v>0</v>
      </c>
      <c r="I6" s="230">
        <f>Working!I21</f>
        <v>0</v>
      </c>
      <c r="J6" s="230">
        <f>Working!J21</f>
        <v>0</v>
      </c>
      <c r="K6" s="230">
        <f>Working!K21</f>
        <v>0</v>
      </c>
      <c r="L6" s="230">
        <f>Working!L21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10">
        <f t="shared" ref="A7:A12" si="0">A6+1</f>
        <v>2</v>
      </c>
      <c r="B7" s="1" t="s">
        <v>156</v>
      </c>
      <c r="C7" s="15">
        <f>Working!C46</f>
        <v>899000</v>
      </c>
      <c r="D7" s="15">
        <f>Working!D46</f>
        <v>10788000</v>
      </c>
      <c r="E7" s="15">
        <f>Working!E46</f>
        <v>899000</v>
      </c>
      <c r="F7" s="15">
        <f>Working!F46</f>
        <v>10788000</v>
      </c>
      <c r="G7" s="15">
        <f>Working!G46</f>
        <v>899000</v>
      </c>
      <c r="H7" s="15">
        <f>Working!H46</f>
        <v>10788000</v>
      </c>
      <c r="I7" s="15">
        <f>Working!I46</f>
        <v>899000</v>
      </c>
      <c r="J7" s="15">
        <f>Working!J46</f>
        <v>10788000</v>
      </c>
      <c r="K7" s="15">
        <f>Working!K46</f>
        <v>899000</v>
      </c>
      <c r="L7" s="15">
        <f>Working!L46</f>
        <v>10788000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154">
        <f t="shared" si="0"/>
        <v>3</v>
      </c>
      <c r="B8" s="150" t="s">
        <v>158</v>
      </c>
      <c r="C8" s="231">
        <f t="shared" ref="C8:L8" si="1">C6-C7</f>
        <v>-899000</v>
      </c>
      <c r="D8" s="231">
        <f t="shared" si="1"/>
        <v>-10788000</v>
      </c>
      <c r="E8" s="231">
        <f t="shared" si="1"/>
        <v>-899000</v>
      </c>
      <c r="F8" s="231">
        <f t="shared" si="1"/>
        <v>-10788000</v>
      </c>
      <c r="G8" s="231">
        <f t="shared" si="1"/>
        <v>-899000</v>
      </c>
      <c r="H8" s="231">
        <f t="shared" si="1"/>
        <v>-10788000</v>
      </c>
      <c r="I8" s="231">
        <f t="shared" si="1"/>
        <v>-899000</v>
      </c>
      <c r="J8" s="231">
        <f t="shared" si="1"/>
        <v>-10788000</v>
      </c>
      <c r="K8" s="231">
        <f t="shared" si="1"/>
        <v>-899000</v>
      </c>
      <c r="L8" s="231">
        <f t="shared" si="1"/>
        <v>-10788000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10">
        <f t="shared" si="0"/>
        <v>4</v>
      </c>
      <c r="B9" s="2" t="s">
        <v>35</v>
      </c>
      <c r="C9" s="69">
        <f>'Inputs 2 - Financing Options'!$E$14</f>
        <v>28882.190874076463</v>
      </c>
      <c r="D9" s="70">
        <f>C9*12</f>
        <v>346586.29048891756</v>
      </c>
      <c r="E9" s="57">
        <f>'Inputs 2 - Financing Options'!$E$14</f>
        <v>28882.190874076463</v>
      </c>
      <c r="F9" s="70">
        <f>E9*12</f>
        <v>346586.29048891756</v>
      </c>
      <c r="G9" s="57">
        <f>'Inputs 2 - Financing Options'!$E$14</f>
        <v>28882.190874076463</v>
      </c>
      <c r="H9" s="70">
        <f>G9*12</f>
        <v>346586.29048891756</v>
      </c>
      <c r="I9" s="57">
        <f>'Inputs 2 - Financing Options'!$E$14</f>
        <v>28882.190874076463</v>
      </c>
      <c r="J9" s="70">
        <f>I9*12</f>
        <v>346586.29048891756</v>
      </c>
      <c r="K9" s="57">
        <f>'Inputs 2 - Financing Options'!$E$14</f>
        <v>28882.190874076463</v>
      </c>
      <c r="L9" s="70">
        <f>K9*12</f>
        <v>346586.29048891756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232">
        <f t="shared" si="0"/>
        <v>5</v>
      </c>
      <c r="B10" s="152" t="s">
        <v>36</v>
      </c>
      <c r="C10" s="233">
        <f t="shared" ref="C10:L10" si="2">C8-C9</f>
        <v>-927882.19087407645</v>
      </c>
      <c r="D10" s="233">
        <f t="shared" si="2"/>
        <v>-11134586.290488917</v>
      </c>
      <c r="E10" s="233">
        <f t="shared" si="2"/>
        <v>-927882.19087407645</v>
      </c>
      <c r="F10" s="233">
        <f t="shared" si="2"/>
        <v>-11134586.290488917</v>
      </c>
      <c r="G10" s="233">
        <f t="shared" si="2"/>
        <v>-927882.19087407645</v>
      </c>
      <c r="H10" s="233">
        <f t="shared" si="2"/>
        <v>-11134586.290488917</v>
      </c>
      <c r="I10" s="233">
        <f t="shared" si="2"/>
        <v>-927882.19087407645</v>
      </c>
      <c r="J10" s="233">
        <f t="shared" si="2"/>
        <v>-11134586.290488917</v>
      </c>
      <c r="K10" s="233">
        <f t="shared" si="2"/>
        <v>-927882.19087407645</v>
      </c>
      <c r="L10" s="233">
        <f t="shared" si="2"/>
        <v>-11134586.290488917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154">
        <f t="shared" si="0"/>
        <v>6</v>
      </c>
      <c r="B11" s="2" t="s">
        <v>12</v>
      </c>
      <c r="C11" s="71"/>
      <c r="D11" s="6">
        <f>D10/'Inputs 2 - Financing Options'!$C$9</f>
        <v>-6.8604967901964988</v>
      </c>
      <c r="E11" s="71"/>
      <c r="F11" s="6">
        <f>F10/'Inputs 2 - Financing Options'!$C$9</f>
        <v>-6.8604967901964988</v>
      </c>
      <c r="G11" s="71"/>
      <c r="H11" s="6">
        <f>H10/'Inputs 2 - Financing Options'!$C$9</f>
        <v>-6.8604967901964988</v>
      </c>
      <c r="I11" s="71"/>
      <c r="J11" s="6">
        <f>J10/'Inputs 2 - Financing Options'!$C$9</f>
        <v>-6.8604967901964988</v>
      </c>
      <c r="K11" s="71"/>
      <c r="L11" s="6">
        <f>L10/'Inputs 2 - Financing Options'!$C$9</f>
        <v>-6.8604967901964988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10">
        <f t="shared" si="0"/>
        <v>7</v>
      </c>
      <c r="B12" s="2" t="s">
        <v>37</v>
      </c>
      <c r="C12" s="72">
        <f>C8/C9</f>
        <v>-31.126447571777099</v>
      </c>
      <c r="D12" s="72"/>
      <c r="E12" s="72">
        <f>E8/E9</f>
        <v>-31.126447571777099</v>
      </c>
      <c r="F12" s="72"/>
      <c r="G12" s="72">
        <f>G8/G9</f>
        <v>-31.126447571777099</v>
      </c>
      <c r="H12" s="72"/>
      <c r="I12" s="72">
        <f>I8/I9</f>
        <v>-31.126447571777099</v>
      </c>
      <c r="J12" s="72"/>
      <c r="K12" s="72">
        <f>K8/K9</f>
        <v>-31.126447571777099</v>
      </c>
      <c r="L12" s="7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10"/>
      <c r="B13" s="2"/>
      <c r="C13" s="72"/>
      <c r="D13" s="2"/>
      <c r="E13" s="72"/>
      <c r="F13" s="2"/>
      <c r="G13" s="72"/>
      <c r="H13" s="2"/>
      <c r="I13" s="72"/>
      <c r="J13" s="2"/>
      <c r="K13" s="7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2"/>
      <c r="B15" s="4" t="s">
        <v>159</v>
      </c>
      <c r="C15" s="5">
        <f>'Inputs 1'!$C$34</f>
        <v>7.0000000000000007E-2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>
      <c r="A16" s="122" t="s">
        <v>3</v>
      </c>
      <c r="B16" s="267" t="s">
        <v>4</v>
      </c>
      <c r="C16" s="268"/>
      <c r="D16" s="268"/>
      <c r="E16" s="2"/>
      <c r="F16" s="29"/>
      <c r="J16" s="29"/>
      <c r="K16" s="2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s="124">
        <v>1</v>
      </c>
      <c r="B17" s="130" t="s">
        <v>160</v>
      </c>
      <c r="C17" s="126"/>
      <c r="D17" s="131">
        <f>'Inputs 2 - Financing Options'!K7</f>
        <v>324600</v>
      </c>
      <c r="E17" s="2"/>
      <c r="G17" s="29"/>
      <c r="K17" s="7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>
      <c r="A18" s="132">
        <f t="shared" ref="A18:A29" si="3">A17+1</f>
        <v>2</v>
      </c>
      <c r="B18" s="136" t="s">
        <v>161</v>
      </c>
      <c r="C18" s="133"/>
      <c r="D18" s="234">
        <f>'Inputs 2 - Financing Options'!K9</f>
        <v>1298400</v>
      </c>
      <c r="E18" s="2"/>
      <c r="G18" s="2"/>
      <c r="I18" s="2"/>
      <c r="J18" s="6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>
      <c r="A19" s="132">
        <f t="shared" si="3"/>
        <v>3</v>
      </c>
      <c r="B19" s="235" t="s">
        <v>162</v>
      </c>
      <c r="C19" s="133"/>
      <c r="D19" s="236">
        <f>AVERAGE(Working!D20,Working!F20,Working!H20,Working!J20,Working!L20)</f>
        <v>0</v>
      </c>
      <c r="E19" s="2"/>
      <c r="J19" s="2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>
      <c r="A20" s="132">
        <f t="shared" si="3"/>
        <v>4</v>
      </c>
      <c r="B20" s="136" t="s">
        <v>35</v>
      </c>
      <c r="C20" s="133"/>
      <c r="D20" s="144">
        <f>'Inputs 2 - Financing Options'!E14</f>
        <v>28882.190874076463</v>
      </c>
      <c r="E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>
      <c r="A21" s="132">
        <f t="shared" si="3"/>
        <v>5</v>
      </c>
      <c r="B21" s="136" t="s">
        <v>40</v>
      </c>
      <c r="C21" s="133"/>
      <c r="D21" s="147">
        <f>'Inputs 2 - Financing Options'!F14</f>
        <v>1732931.4524445878</v>
      </c>
      <c r="E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>
      <c r="A22" s="132">
        <f t="shared" si="3"/>
        <v>6</v>
      </c>
      <c r="B22" s="136" t="s">
        <v>163</v>
      </c>
      <c r="C22" s="136"/>
      <c r="D22" s="147">
        <f>'Inputs 2 - Financing Options'!G14</f>
        <v>434531.45244458783</v>
      </c>
      <c r="E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132">
        <f t="shared" si="3"/>
        <v>7</v>
      </c>
      <c r="B23" s="136" t="s">
        <v>16</v>
      </c>
      <c r="C23" s="136"/>
      <c r="D23" s="143">
        <f>'Inputs 2 - Financing Options'!C14</f>
        <v>60</v>
      </c>
      <c r="E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>
      <c r="A24" s="132">
        <f t="shared" si="3"/>
        <v>8</v>
      </c>
      <c r="B24" s="136" t="s">
        <v>21</v>
      </c>
      <c r="C24" s="136"/>
      <c r="D24" s="237">
        <f>SUM('Inputs 2 - Financing Options'!$I$18:$I$78)</f>
        <v>0</v>
      </c>
      <c r="E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>
      <c r="A25" s="132">
        <f t="shared" si="3"/>
        <v>9</v>
      </c>
      <c r="B25" s="136" t="s">
        <v>12</v>
      </c>
      <c r="C25" s="136"/>
      <c r="D25" s="238">
        <f>AVERAGE(D11,F11,H11,J11,L11)</f>
        <v>-6.8604967901964979</v>
      </c>
      <c r="E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132">
        <f t="shared" si="3"/>
        <v>10</v>
      </c>
      <c r="B26" s="136" t="s">
        <v>15</v>
      </c>
      <c r="C26" s="136"/>
      <c r="D26" s="224">
        <f t="array" ref="D26">NPV(C15/12,'Inputs 2 - Financing Options'!$G$18:$G$78,1,1)</f>
        <v>-46751573.248370521</v>
      </c>
      <c r="E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132">
        <f t="shared" si="3"/>
        <v>11</v>
      </c>
      <c r="B27" s="140" t="s">
        <v>17</v>
      </c>
      <c r="C27" s="140"/>
      <c r="D27" s="239" t="e">
        <f>IRR('Inputs 2 - Financing Options'!$G$18:$G$78)</f>
        <v>#NUM!</v>
      </c>
      <c r="E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132">
        <f t="shared" si="3"/>
        <v>12</v>
      </c>
      <c r="B28" s="136" t="s">
        <v>164</v>
      </c>
      <c r="C28" s="133"/>
      <c r="D28" s="224">
        <f>AVERAGE(D10,F10,H10,J10,L10)</f>
        <v>-11134586.290488917</v>
      </c>
      <c r="E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145">
        <f t="shared" si="3"/>
        <v>13</v>
      </c>
      <c r="B29" s="140" t="s">
        <v>19</v>
      </c>
      <c r="C29" s="140"/>
      <c r="D29" s="240">
        <f t="array" ref="D29">NPV(C15,D6,F6,H6,J6,L6)/NPV(C15,D7+D9,F7+F9,H7+H9,J7+J9,L7+L9)</f>
        <v>0</v>
      </c>
      <c r="E29" s="7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10"/>
      <c r="B30" s="2"/>
      <c r="C30" s="2"/>
      <c r="D30" s="7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/>
    <row r="231" spans="1:25" ht="15.75" customHeight="1"/>
    <row r="232" spans="1:25" ht="15.75" customHeight="1"/>
    <row r="233" spans="1:25" ht="15.75" customHeight="1"/>
    <row r="234" spans="1:25" ht="15.75" customHeight="1"/>
    <row r="235" spans="1:25" ht="15.75" customHeight="1"/>
    <row r="236" spans="1:25" ht="15.75" customHeight="1"/>
    <row r="237" spans="1:25" ht="15.75" customHeight="1"/>
    <row r="238" spans="1:25" ht="15.75" customHeight="1"/>
    <row r="239" spans="1:25" ht="15.75" customHeight="1"/>
    <row r="240" spans="1:2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8">
    <mergeCell ref="I4:J4"/>
    <mergeCell ref="K4:L4"/>
    <mergeCell ref="B16:D16"/>
    <mergeCell ref="A4:A5"/>
    <mergeCell ref="B4:B5"/>
    <mergeCell ref="C4:D4"/>
    <mergeCell ref="E4:F4"/>
    <mergeCell ref="G4:H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4A86E8"/>
  </sheetPr>
  <dimension ref="A1:X999"/>
  <sheetViews>
    <sheetView showGridLines="0" workbookViewId="0">
      <selection activeCell="C27" sqref="C27"/>
    </sheetView>
  </sheetViews>
  <sheetFormatPr defaultColWidth="14.42578125" defaultRowHeight="15" customHeight="1"/>
  <cols>
    <col min="1" max="1" width="7" customWidth="1"/>
    <col min="2" max="2" width="36.7109375" customWidth="1"/>
    <col min="3" max="3" width="16.7109375" customWidth="1"/>
    <col min="4" max="5" width="14" customWidth="1"/>
    <col min="6" max="6" width="15.42578125" customWidth="1"/>
    <col min="7" max="7" width="15" customWidth="1"/>
    <col min="8" max="26" width="14" customWidth="1"/>
  </cols>
  <sheetData>
    <row r="1" spans="1:24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121" t="s">
        <v>41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75" t="s">
        <v>3</v>
      </c>
      <c r="B4" s="75" t="s">
        <v>22</v>
      </c>
      <c r="C4" s="75" t="s">
        <v>100</v>
      </c>
      <c r="D4" s="76" t="s">
        <v>166</v>
      </c>
      <c r="E4" s="9">
        <v>12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124">
        <v>1</v>
      </c>
      <c r="B5" s="126" t="str">
        <f>Working!B26</f>
        <v>Human Resource</v>
      </c>
      <c r="C5" s="126" t="str">
        <f>Working!C26</f>
        <v>Fixed Cost</v>
      </c>
      <c r="D5" s="217">
        <f>Working!D26</f>
        <v>25000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132">
        <f t="shared" ref="A6:A17" si="0">A5+1</f>
        <v>2</v>
      </c>
      <c r="B6" s="126" t="str">
        <f>Working!B27</f>
        <v>Rent and Maintenance</v>
      </c>
      <c r="C6" s="126" t="str">
        <f>Working!C27</f>
        <v>Fixed Cost</v>
      </c>
      <c r="D6" s="217">
        <f>Working!D27</f>
        <v>10000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132">
        <f t="shared" si="0"/>
        <v>3</v>
      </c>
      <c r="B7" s="126" t="str">
        <f>Working!B28</f>
        <v>Raw Material (Cow Milk)</v>
      </c>
      <c r="C7" s="126" t="str">
        <f>Working!C28</f>
        <v>Variable Cost</v>
      </c>
      <c r="D7" s="217">
        <f>Working!D28</f>
        <v>864000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132">
        <f t="shared" si="0"/>
        <v>4</v>
      </c>
      <c r="B8" s="126" t="str">
        <f>Working!B29</f>
        <v>Electricity</v>
      </c>
      <c r="C8" s="126" t="str">
        <f>Working!C29</f>
        <v>Fixed Cost</v>
      </c>
      <c r="D8" s="217">
        <f>Working!D29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132">
        <f t="shared" si="0"/>
        <v>5</v>
      </c>
      <c r="B9" s="126" t="str">
        <f>Working!B30</f>
        <v>Transport</v>
      </c>
      <c r="C9" s="126" t="str">
        <f>Working!C30</f>
        <v>Variable Cost</v>
      </c>
      <c r="D9" s="217">
        <f>Working!D30</f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132">
        <f t="shared" si="0"/>
        <v>6</v>
      </c>
      <c r="B10" s="126" t="str">
        <f>Working!B31</f>
        <v>Packaging</v>
      </c>
      <c r="C10" s="126" t="str">
        <f>Working!C31</f>
        <v>Variable Cost</v>
      </c>
      <c r="D10" s="217">
        <f>Working!D31</f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32">
        <f t="shared" si="0"/>
        <v>7</v>
      </c>
      <c r="B11" s="126" t="str">
        <f>Working!B32</f>
        <v>Other Expenses</v>
      </c>
      <c r="C11" s="126" t="str">
        <f>Working!C32</f>
        <v>Variable Cost</v>
      </c>
      <c r="D11" s="217">
        <f>Working!D32</f>
        <v>0</v>
      </c>
      <c r="E11" s="7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132">
        <f t="shared" si="0"/>
        <v>8</v>
      </c>
      <c r="B12" s="2" t="s">
        <v>35</v>
      </c>
      <c r="C12" s="2" t="s">
        <v>104</v>
      </c>
      <c r="D12" s="15">
        <f>'Inputs 2 - Financing Options'!$E$14</f>
        <v>28882.190874076463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154">
        <f t="shared" si="0"/>
        <v>9</v>
      </c>
      <c r="B13" s="150" t="s">
        <v>167</v>
      </c>
      <c r="C13" s="150"/>
      <c r="D13" s="151">
        <f>SUM(D5:D12)</f>
        <v>927882.19087407645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124">
        <f t="shared" si="0"/>
        <v>10</v>
      </c>
      <c r="B14" s="130" t="s">
        <v>28</v>
      </c>
      <c r="C14" s="130"/>
      <c r="D14" s="241">
        <f>'Financial Overview'!C6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132">
        <f t="shared" si="0"/>
        <v>11</v>
      </c>
      <c r="B15" s="136" t="s">
        <v>107</v>
      </c>
      <c r="C15" s="136"/>
      <c r="D15" s="224">
        <f>SUMIF($C$5:$C$12,$B15,$D$5:$D$12)</f>
        <v>864000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132">
        <f t="shared" si="0"/>
        <v>12</v>
      </c>
      <c r="B16" s="136" t="s">
        <v>168</v>
      </c>
      <c r="C16" s="136"/>
      <c r="D16" s="224">
        <f>D14-D15</f>
        <v>-864000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145">
        <f t="shared" si="0"/>
        <v>13</v>
      </c>
      <c r="B17" s="140" t="s">
        <v>169</v>
      </c>
      <c r="C17" s="140"/>
      <c r="D17" s="242" t="e">
        <f>D16/D14</f>
        <v>#DIV/0!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.5" customHeight="1">
      <c r="A18" s="243"/>
      <c r="B18" s="243"/>
      <c r="C18" s="243"/>
      <c r="D18" s="24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124">
        <f>A17+1</f>
        <v>14</v>
      </c>
      <c r="B19" s="130" t="s">
        <v>104</v>
      </c>
      <c r="C19" s="130"/>
      <c r="D19" s="241">
        <f>SUMIF($C$5:$C$12,$B19,$D$5:$D$12)</f>
        <v>63882.190874076463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145">
        <f t="shared" ref="A20:A24" si="1">A19+1</f>
        <v>15</v>
      </c>
      <c r="B20" s="140" t="s">
        <v>170</v>
      </c>
      <c r="C20" s="140"/>
      <c r="D20" s="230">
        <f>'Inputs 1'!$C$32</f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78">
        <f t="shared" si="1"/>
        <v>16</v>
      </c>
      <c r="B21" s="79" t="s">
        <v>171</v>
      </c>
      <c r="C21" s="79"/>
      <c r="D21" s="80">
        <f>SUM(D19:D20)</f>
        <v>63882.190874076463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132">
        <f t="shared" si="1"/>
        <v>17</v>
      </c>
      <c r="B22" s="136" t="s">
        <v>172</v>
      </c>
      <c r="C22" s="136"/>
      <c r="D22" s="224" t="e">
        <f>D21/D17</f>
        <v>#DIV/0!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132">
        <f t="shared" si="1"/>
        <v>18</v>
      </c>
      <c r="B23" s="136" t="s">
        <v>173</v>
      </c>
      <c r="C23" s="136"/>
      <c r="D23" s="244" t="e">
        <f>'Inputs 1'!E14</f>
        <v>#VALUE!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145">
        <f t="shared" si="1"/>
        <v>19</v>
      </c>
      <c r="B24" s="163" t="s">
        <v>174</v>
      </c>
      <c r="C24" s="163"/>
      <c r="D24" s="245" t="e">
        <f>D22/D23</f>
        <v>#DIV/0!</v>
      </c>
      <c r="E24" s="3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124"/>
      <c r="B26" s="160" t="s">
        <v>175</v>
      </c>
      <c r="C26" s="160" t="s">
        <v>42</v>
      </c>
      <c r="D26" s="246" t="s">
        <v>43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10">
        <v>1</v>
      </c>
      <c r="B27" s="1" t="s">
        <v>44</v>
      </c>
      <c r="C27" s="81">
        <f>'Inputs 1'!C7*'Inputs 1'!C9</f>
        <v>30000</v>
      </c>
      <c r="D27" s="8" t="e">
        <f t="shared" ref="D27:D28" si="2">C27*$D$23</f>
        <v>#VALUE!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10">
        <f>A27+1</f>
        <v>2</v>
      </c>
      <c r="B28" s="1" t="s">
        <v>45</v>
      </c>
      <c r="C28" s="81" t="e">
        <f>D24</f>
        <v>#DIV/0!</v>
      </c>
      <c r="D28" s="8" t="e">
        <f t="shared" si="2"/>
        <v>#DIV/0!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/>
    <row r="230" spans="1:24" ht="15.75" customHeight="1"/>
    <row r="231" spans="1:24" ht="15.75" customHeight="1"/>
    <row r="232" spans="1:24" ht="15.75" customHeight="1"/>
    <row r="233" spans="1:24" ht="15.75" customHeight="1"/>
    <row r="234" spans="1:24" ht="15.75" customHeight="1"/>
    <row r="235" spans="1:24" ht="15.75" customHeight="1"/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2E095CF329D045BCE543B6F35C8607" ma:contentTypeVersion="4" ma:contentTypeDescription="Create a new document." ma:contentTypeScope="" ma:versionID="3c2f608c96f68180c4cbdca7665aed35">
  <xsd:schema xmlns:xsd="http://www.w3.org/2001/XMLSchema" xmlns:xs="http://www.w3.org/2001/XMLSchema" xmlns:p="http://schemas.microsoft.com/office/2006/metadata/properties" xmlns:ns2="75898939-aca7-44d6-91b1-e960b7a867d1" targetNamespace="http://schemas.microsoft.com/office/2006/metadata/properties" ma:root="true" ma:fieldsID="1bf663e1623e32641f1e126339c71e6c" ns2:_="">
    <xsd:import namespace="75898939-aca7-44d6-91b1-e960b7a867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98939-aca7-44d6-91b1-e960b7a867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2D6F6-E21F-47F7-A5B9-8EB727112479}"/>
</file>

<file path=customXml/itemProps2.xml><?xml version="1.0" encoding="utf-8"?>
<ds:datastoreItem xmlns:ds="http://schemas.openxmlformats.org/officeDocument/2006/customXml" ds:itemID="{50C6B390-0C5F-4D30-90E5-8774C75BEEA7}"/>
</file>

<file path=customXml/itemProps3.xml><?xml version="1.0" encoding="utf-8"?>
<ds:datastoreItem xmlns:ds="http://schemas.openxmlformats.org/officeDocument/2006/customXml" ds:itemID="{3CE92500-2173-4F7C-9856-FB4915F5A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/>
  <cp:revision/>
  <dcterms:created xsi:type="dcterms:W3CDTF">2015-06-05T12:47:20Z</dcterms:created>
  <dcterms:modified xsi:type="dcterms:W3CDTF">2025-07-11T04:32:14Z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72afffa9ff3c4e33906c76e69b8a9427</vt:lpwstr>
  </property>
  <property fmtid="{D5CDD505-2E9C-101B-9397-08002B2CF9AE}" pid="3" name="ContentTypeId">
    <vt:lpwstr>0x010100D52E095CF329D045BCE543B6F35C8607</vt:lpwstr>
  </property>
</Properties>
</file>